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nt\Desktop\"/>
    </mc:Choice>
  </mc:AlternateContent>
  <xr:revisionPtr revIDLastSave="0" documentId="13_ncr:1_{26D23A53-8898-40B7-87CB-B9E512498D0D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مادري دو" sheetId="3" r:id="rId1"/>
    <sheet name="مادري يك" sheetId="2" r:id="rId2"/>
    <sheet name="عمه" sheetId="1" r:id="rId3"/>
    <sheet name="محاسبه قطعات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4" l="1"/>
  <c r="L11" i="4"/>
  <c r="M11" i="4"/>
  <c r="P11" i="4"/>
  <c r="G12" i="4"/>
  <c r="L12" i="4"/>
  <c r="M12" i="4"/>
  <c r="P12" i="4"/>
  <c r="G13" i="4"/>
  <c r="I13" i="4" s="1"/>
  <c r="L13" i="4"/>
  <c r="M13" i="4" s="1"/>
  <c r="P13" i="4"/>
  <c r="G14" i="4"/>
  <c r="I14" i="4"/>
  <c r="L14" i="4"/>
  <c r="M14" i="4"/>
  <c r="P14" i="4"/>
  <c r="G15" i="4"/>
  <c r="I15" i="4"/>
  <c r="L15" i="4"/>
  <c r="M15" i="4" s="1"/>
  <c r="P15" i="4"/>
  <c r="G16" i="4"/>
  <c r="I16" i="4"/>
  <c r="L16" i="4"/>
  <c r="M16" i="4"/>
  <c r="P16" i="4"/>
  <c r="G17" i="4"/>
  <c r="I17" i="4"/>
  <c r="L17" i="4"/>
  <c r="M17" i="4"/>
  <c r="P17" i="4"/>
  <c r="G18" i="4"/>
  <c r="I18" i="4"/>
  <c r="L18" i="4"/>
  <c r="M18" i="4"/>
  <c r="P18" i="4"/>
  <c r="G19" i="4"/>
  <c r="I19" i="4" s="1"/>
  <c r="L19" i="4"/>
  <c r="M19" i="4"/>
  <c r="P19" i="4"/>
  <c r="G20" i="4"/>
  <c r="L20" i="4"/>
  <c r="M20" i="4"/>
  <c r="P20" i="4"/>
  <c r="G21" i="4"/>
  <c r="I21" i="4" s="1"/>
  <c r="L21" i="4"/>
  <c r="M21" i="4" s="1"/>
  <c r="P21" i="4"/>
  <c r="G22" i="4"/>
  <c r="I22" i="4"/>
  <c r="L22" i="4"/>
  <c r="M22" i="4"/>
  <c r="P22" i="4"/>
  <c r="G23" i="4"/>
  <c r="I23" i="4"/>
  <c r="L23" i="4"/>
  <c r="M23" i="4" s="1"/>
  <c r="P23" i="4"/>
  <c r="G24" i="4"/>
  <c r="I24" i="4"/>
  <c r="L24" i="4"/>
  <c r="M24" i="4"/>
  <c r="P24" i="4"/>
  <c r="G25" i="4"/>
  <c r="I25" i="4"/>
  <c r="L25" i="4"/>
  <c r="M25" i="4"/>
  <c r="P25" i="4"/>
  <c r="G26" i="4"/>
  <c r="I26" i="4"/>
  <c r="L26" i="4"/>
  <c r="M26" i="4"/>
  <c r="P26" i="4"/>
  <c r="G27" i="4"/>
  <c r="I27" i="4" s="1"/>
  <c r="L27" i="4"/>
  <c r="M27" i="4"/>
  <c r="P27" i="4"/>
  <c r="G28" i="4"/>
  <c r="L28" i="4"/>
  <c r="M28" i="4"/>
  <c r="P28" i="4"/>
  <c r="G29" i="4"/>
  <c r="I29" i="4" s="1"/>
  <c r="L29" i="4"/>
  <c r="M29" i="4" s="1"/>
  <c r="P29" i="4"/>
  <c r="G30" i="4"/>
  <c r="I30" i="4"/>
  <c r="L30" i="4"/>
  <c r="M30" i="4"/>
  <c r="P30" i="4"/>
  <c r="G31" i="4"/>
  <c r="I31" i="4"/>
  <c r="L31" i="4"/>
  <c r="M31" i="4" s="1"/>
  <c r="P31" i="4"/>
  <c r="G32" i="4"/>
  <c r="I32" i="4"/>
  <c r="L32" i="4"/>
  <c r="M32" i="4"/>
  <c r="P32" i="4"/>
  <c r="G33" i="4"/>
  <c r="I33" i="4"/>
  <c r="L33" i="4"/>
  <c r="M33" i="4"/>
  <c r="P33" i="4"/>
  <c r="G34" i="4"/>
  <c r="I34" i="4"/>
  <c r="L34" i="4"/>
  <c r="M34" i="4"/>
  <c r="P34" i="4"/>
  <c r="G35" i="4"/>
  <c r="L35" i="4"/>
  <c r="M35" i="4"/>
  <c r="P35" i="4"/>
  <c r="G36" i="4"/>
  <c r="L36" i="4"/>
  <c r="M36" i="4"/>
  <c r="P36" i="4"/>
  <c r="I35" i="4" l="1"/>
  <c r="I11" i="4"/>
  <c r="I36" i="4"/>
  <c r="I28" i="4"/>
  <c r="I20" i="4"/>
  <c r="I12" i="4"/>
  <c r="Q37" i="4"/>
  <c r="P2" i="4"/>
  <c r="P3" i="4"/>
  <c r="P4" i="4"/>
  <c r="P5" i="4"/>
  <c r="P6" i="4"/>
  <c r="P7" i="4"/>
  <c r="P8" i="4"/>
  <c r="P9" i="4"/>
  <c r="P10" i="4"/>
  <c r="W5" i="4" l="1"/>
  <c r="W4" i="4"/>
  <c r="U16" i="4" l="1"/>
  <c r="U14" i="4"/>
  <c r="O37" i="4"/>
  <c r="N37" i="4"/>
  <c r="W6" i="4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G3" i="4"/>
  <c r="G4" i="4"/>
  <c r="G5" i="4"/>
  <c r="G6" i="4"/>
  <c r="G7" i="4"/>
  <c r="G8" i="4"/>
  <c r="G9" i="4"/>
  <c r="G10" i="4"/>
  <c r="L2" i="4"/>
  <c r="M2" i="4" s="1"/>
  <c r="G2" i="4"/>
  <c r="H2" i="4" s="1"/>
  <c r="W7" i="4"/>
  <c r="W3" i="4"/>
  <c r="U15" i="4" s="1"/>
  <c r="H9" i="4" l="1"/>
  <c r="R9" i="4" s="1"/>
  <c r="H8" i="4"/>
  <c r="R8" i="4" s="1"/>
  <c r="H17" i="4"/>
  <c r="R17" i="4" s="1"/>
  <c r="H33" i="4"/>
  <c r="R33" i="4" s="1"/>
  <c r="H16" i="4"/>
  <c r="R16" i="4" s="1"/>
  <c r="H22" i="4"/>
  <c r="R22" i="4" s="1"/>
  <c r="H13" i="4"/>
  <c r="R13" i="4" s="1"/>
  <c r="H19" i="4"/>
  <c r="R19" i="4" s="1"/>
  <c r="H27" i="4"/>
  <c r="R27" i="4" s="1"/>
  <c r="H24" i="4"/>
  <c r="R24" i="4" s="1"/>
  <c r="H15" i="4"/>
  <c r="R15" i="4" s="1"/>
  <c r="H31" i="4"/>
  <c r="R31" i="4" s="1"/>
  <c r="H14" i="4"/>
  <c r="R14" i="4" s="1"/>
  <c r="H30" i="4"/>
  <c r="R30" i="4" s="1"/>
  <c r="H29" i="4"/>
  <c r="R29" i="4" s="1"/>
  <c r="H25" i="4"/>
  <c r="R25" i="4" s="1"/>
  <c r="H32" i="4"/>
  <c r="R32" i="4" s="1"/>
  <c r="H23" i="4"/>
  <c r="R23" i="4" s="1"/>
  <c r="H21" i="4"/>
  <c r="R21" i="4" s="1"/>
  <c r="H34" i="4"/>
  <c r="R34" i="4" s="1"/>
  <c r="H11" i="4"/>
  <c r="R11" i="4" s="1"/>
  <c r="H28" i="4"/>
  <c r="R28" i="4" s="1"/>
  <c r="H35" i="4"/>
  <c r="R35" i="4" s="1"/>
  <c r="H26" i="4"/>
  <c r="R26" i="4" s="1"/>
  <c r="H20" i="4"/>
  <c r="R20" i="4" s="1"/>
  <c r="H18" i="4"/>
  <c r="R18" i="4" s="1"/>
  <c r="H36" i="4"/>
  <c r="R36" i="4" s="1"/>
  <c r="H12" i="4"/>
  <c r="R12" i="4" s="1"/>
  <c r="I5" i="4"/>
  <c r="H5" i="4"/>
  <c r="I4" i="4"/>
  <c r="H4" i="4"/>
  <c r="R4" i="4" s="1"/>
  <c r="I3" i="4"/>
  <c r="H3" i="4"/>
  <c r="I10" i="4"/>
  <c r="H10" i="4"/>
  <c r="I7" i="4"/>
  <c r="H7" i="4"/>
  <c r="H6" i="4"/>
  <c r="R6" i="4" s="1"/>
  <c r="L37" i="4"/>
  <c r="G37" i="4"/>
  <c r="M37" i="4"/>
  <c r="R2" i="4"/>
  <c r="R5" i="4"/>
  <c r="R7" i="4"/>
  <c r="R3" i="4"/>
  <c r="P37" i="4"/>
  <c r="R10" i="4"/>
  <c r="I2" i="4"/>
  <c r="I9" i="4"/>
  <c r="I8" i="4"/>
  <c r="I6" i="4"/>
  <c r="M10" i="3"/>
  <c r="D10" i="3"/>
  <c r="C10" i="3"/>
  <c r="B10" i="3"/>
  <c r="K10" i="3" s="1"/>
  <c r="C9" i="3"/>
  <c r="M9" i="3" s="1"/>
  <c r="B9" i="3"/>
  <c r="K9" i="3" s="1"/>
  <c r="F8" i="3"/>
  <c r="F2" i="3" s="1"/>
  <c r="C8" i="3"/>
  <c r="M8" i="3" s="1"/>
  <c r="B8" i="3"/>
  <c r="K8" i="3" s="1"/>
  <c r="C7" i="3"/>
  <c r="M7" i="3" s="1"/>
  <c r="B7" i="3"/>
  <c r="K7" i="3" s="1"/>
  <c r="M6" i="3"/>
  <c r="C6" i="3"/>
  <c r="B6" i="3"/>
  <c r="D6" i="3" s="1"/>
  <c r="M5" i="3"/>
  <c r="K5" i="3"/>
  <c r="D5" i="3"/>
  <c r="C5" i="3"/>
  <c r="B5" i="3"/>
  <c r="C4" i="3"/>
  <c r="M4" i="3" s="1"/>
  <c r="B4" i="3"/>
  <c r="K4" i="3" s="1"/>
  <c r="C3" i="3"/>
  <c r="M3" i="3" s="1"/>
  <c r="B3" i="3"/>
  <c r="K3" i="3" s="1"/>
  <c r="M2" i="3"/>
  <c r="K2" i="3"/>
  <c r="C2" i="3"/>
  <c r="C11" i="3" s="1"/>
  <c r="B2" i="3"/>
  <c r="D2" i="3" s="1"/>
  <c r="M10" i="2"/>
  <c r="K10" i="2"/>
  <c r="D10" i="2"/>
  <c r="E10" i="2" s="1"/>
  <c r="C10" i="2"/>
  <c r="B10" i="2"/>
  <c r="C9" i="2"/>
  <c r="M9" i="2" s="1"/>
  <c r="B9" i="2"/>
  <c r="D9" i="2" s="1"/>
  <c r="F8" i="2"/>
  <c r="C8" i="2"/>
  <c r="M8" i="2" s="1"/>
  <c r="B8" i="2"/>
  <c r="K8" i="2" s="1"/>
  <c r="C7" i="2"/>
  <c r="M7" i="2" s="1"/>
  <c r="B7" i="2"/>
  <c r="K7" i="2" s="1"/>
  <c r="M6" i="2"/>
  <c r="K6" i="2"/>
  <c r="D6" i="2"/>
  <c r="C6" i="2"/>
  <c r="B6" i="2"/>
  <c r="M5" i="2"/>
  <c r="D5" i="2"/>
  <c r="E5" i="2" s="1"/>
  <c r="C5" i="2"/>
  <c r="B5" i="2"/>
  <c r="K5" i="2" s="1"/>
  <c r="C4" i="2"/>
  <c r="M4" i="2" s="1"/>
  <c r="B4" i="2"/>
  <c r="D4" i="2" s="1"/>
  <c r="E4" i="2" s="1"/>
  <c r="K3" i="2"/>
  <c r="C3" i="2"/>
  <c r="M3" i="2" s="1"/>
  <c r="B3" i="2"/>
  <c r="D3" i="2" s="1"/>
  <c r="M2" i="2"/>
  <c r="K2" i="2"/>
  <c r="F2" i="2"/>
  <c r="E6" i="2" s="1"/>
  <c r="C2" i="2"/>
  <c r="C11" i="2" s="1"/>
  <c r="B2" i="2"/>
  <c r="D2" i="2" s="1"/>
  <c r="M3" i="1"/>
  <c r="M4" i="1"/>
  <c r="M5" i="1"/>
  <c r="M6" i="1"/>
  <c r="M7" i="1"/>
  <c r="M8" i="1"/>
  <c r="M9" i="1"/>
  <c r="M10" i="1"/>
  <c r="M2" i="1"/>
  <c r="K5" i="1"/>
  <c r="K6" i="1"/>
  <c r="C4" i="1"/>
  <c r="B4" i="1"/>
  <c r="K4" i="1" s="1"/>
  <c r="B5" i="1"/>
  <c r="D5" i="1" s="1"/>
  <c r="E5" i="1" s="1"/>
  <c r="C5" i="1"/>
  <c r="C10" i="1"/>
  <c r="C9" i="1"/>
  <c r="C8" i="1"/>
  <c r="C7" i="1"/>
  <c r="B10" i="1"/>
  <c r="K10" i="1" s="1"/>
  <c r="B9" i="1"/>
  <c r="K9" i="1" s="1"/>
  <c r="B8" i="1"/>
  <c r="K8" i="1" s="1"/>
  <c r="B7" i="1"/>
  <c r="K7" i="1" s="1"/>
  <c r="C6" i="1"/>
  <c r="B6" i="1"/>
  <c r="C3" i="1"/>
  <c r="B3" i="1"/>
  <c r="K3" i="1" s="1"/>
  <c r="C2" i="1"/>
  <c r="B2" i="1"/>
  <c r="K2" i="1" s="1"/>
  <c r="I37" i="4" l="1"/>
  <c r="H37" i="4"/>
  <c r="K6" i="3"/>
  <c r="E6" i="3"/>
  <c r="E2" i="3"/>
  <c r="E9" i="3"/>
  <c r="E8" i="3"/>
  <c r="E10" i="3"/>
  <c r="E5" i="3"/>
  <c r="D4" i="3"/>
  <c r="E4" i="3" s="1"/>
  <c r="D8" i="3"/>
  <c r="D9" i="3"/>
  <c r="D3" i="3"/>
  <c r="D7" i="3"/>
  <c r="E7" i="3" s="1"/>
  <c r="B11" i="3"/>
  <c r="E2" i="2"/>
  <c r="E9" i="2"/>
  <c r="K4" i="2"/>
  <c r="D7" i="2"/>
  <c r="E7" i="2" s="1"/>
  <c r="K9" i="2"/>
  <c r="B11" i="2"/>
  <c r="D8" i="2"/>
  <c r="D11" i="2" s="1"/>
  <c r="E3" i="2"/>
  <c r="D4" i="1"/>
  <c r="E4" i="1" s="1"/>
  <c r="F8" i="1"/>
  <c r="F2" i="1" s="1"/>
  <c r="C11" i="1"/>
  <c r="B11" i="1"/>
  <c r="D2" i="1"/>
  <c r="E2" i="1" s="1"/>
  <c r="D3" i="1"/>
  <c r="D6" i="1"/>
  <c r="E6" i="1" s="1"/>
  <c r="D7" i="1"/>
  <c r="E7" i="1" s="1"/>
  <c r="D8" i="1"/>
  <c r="E8" i="1" s="1"/>
  <c r="D9" i="1"/>
  <c r="E9" i="1" s="1"/>
  <c r="D10" i="1"/>
  <c r="E10" i="1" s="1"/>
  <c r="R37" i="4" l="1"/>
  <c r="U21" i="4" s="1"/>
  <c r="D11" i="3"/>
  <c r="E3" i="3"/>
  <c r="E11" i="3" s="1"/>
  <c r="I8" i="3" s="1"/>
  <c r="E8" i="2"/>
  <c r="E11" i="2"/>
  <c r="I8" i="2" s="1"/>
  <c r="D11" i="1"/>
  <c r="E3" i="1"/>
  <c r="E11" i="1" s="1"/>
  <c r="I8" i="1" s="1"/>
</calcChain>
</file>

<file path=xl/sharedStrings.xml><?xml version="1.0" encoding="utf-8"?>
<sst xmlns="http://schemas.openxmlformats.org/spreadsheetml/2006/main" count="252" uniqueCount="73">
  <si>
    <t>طول</t>
  </si>
  <si>
    <t>عرض</t>
  </si>
  <si>
    <t>متر مربع</t>
  </si>
  <si>
    <t>قيمت</t>
  </si>
  <si>
    <t>قيمت واحد</t>
  </si>
  <si>
    <t>قيمت پانل</t>
  </si>
  <si>
    <t>ابعاد پانل</t>
  </si>
  <si>
    <t>صفحه رو</t>
  </si>
  <si>
    <t>پشت</t>
  </si>
  <si>
    <t>زيرپايي</t>
  </si>
  <si>
    <t>عمود استحكام زير صفحه رو</t>
  </si>
  <si>
    <t>افقي زير صفحه رو عقب</t>
  </si>
  <si>
    <t>افقي زير صفحه رو جلو</t>
  </si>
  <si>
    <t>عمود استحكام زيرپايي</t>
  </si>
  <si>
    <t>ارتفاع</t>
  </si>
  <si>
    <t>ضخامت</t>
  </si>
  <si>
    <t>ارتفاع پايه</t>
  </si>
  <si>
    <t>لبه دور</t>
  </si>
  <si>
    <t>ارتفاع پشت</t>
  </si>
  <si>
    <t>ارتفاع استحكام</t>
  </si>
  <si>
    <t>ستون چپ</t>
  </si>
  <si>
    <t>ستون راست</t>
  </si>
  <si>
    <t>قيمت نهايي</t>
  </si>
  <si>
    <t>قطعات</t>
  </si>
  <si>
    <t>x</t>
  </si>
  <si>
    <t>**</t>
  </si>
  <si>
    <t>*</t>
  </si>
  <si>
    <t>366 - 183</t>
  </si>
  <si>
    <t>260 - 204</t>
  </si>
  <si>
    <t>عنوان قطعه</t>
  </si>
  <si>
    <t>وزن ملامينه (کیلو در م²)</t>
  </si>
  <si>
    <t>وزن ام‌دی‌اف (کیلو در م²)</t>
  </si>
  <si>
    <t>طول (سم)</t>
  </si>
  <si>
    <t>عرض (سم)</t>
  </si>
  <si>
    <t>ابعاد ورق بزرگ</t>
  </si>
  <si>
    <t>ابعاد ورق کوچک</t>
  </si>
  <si>
    <t>مساحت</t>
  </si>
  <si>
    <t>قیمت ملامینه (هـ ت)</t>
  </si>
  <si>
    <t>قیمت ام‌دی‌اف (هـ ت)</t>
  </si>
  <si>
    <t>وزن</t>
  </si>
  <si>
    <t>راست</t>
  </si>
  <si>
    <t>چپ</t>
  </si>
  <si>
    <t>نوار طول</t>
  </si>
  <si>
    <t>نوار عرض</t>
  </si>
  <si>
    <t>قیمت نوار</t>
  </si>
  <si>
    <t>قیمت قطعه</t>
  </si>
  <si>
    <t>طول نوار</t>
  </si>
  <si>
    <t>قیمت کل</t>
  </si>
  <si>
    <t>قیمت نوار (هـ ت)</t>
  </si>
  <si>
    <t>Column1</t>
  </si>
  <si>
    <t>زیرپایی</t>
  </si>
  <si>
    <t>استحکام</t>
  </si>
  <si>
    <t>میز عمه</t>
  </si>
  <si>
    <t>میز مادری یک</t>
  </si>
  <si>
    <t>میز مادری دو</t>
  </si>
  <si>
    <t>ابعاد ورق متوسط</t>
  </si>
  <si>
    <t>پیچ کوتاه</t>
  </si>
  <si>
    <t>پیچ بلند</t>
  </si>
  <si>
    <t>قیمت پیچ</t>
  </si>
  <si>
    <t>قیمت ورق فعلی (هـ ت)</t>
  </si>
  <si>
    <t>پرتی</t>
  </si>
  <si>
    <t>هزینه برش (هـ ت)</t>
  </si>
  <si>
    <t>هزینه حمل و نقل (هـ ت)</t>
  </si>
  <si>
    <t>وزن ورق فعلی (ک بر م²)</t>
  </si>
  <si>
    <t>ابعاد ورق فعلی (م²)</t>
  </si>
  <si>
    <t>هزینه نهایی:</t>
  </si>
  <si>
    <t>ابعاد ورق بزرگ‌تر</t>
  </si>
  <si>
    <t>ابعاد ورق کوچک‌تر</t>
  </si>
  <si>
    <t>قیمت پیچ بلند (ت)</t>
  </si>
  <si>
    <t>قیمت پیچ کوتاه (ت)</t>
  </si>
  <si>
    <t>قیمت پولک (ت)</t>
  </si>
  <si>
    <t>لوازم</t>
  </si>
  <si>
    <t>دستمزد (درصد)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</si>
</sst>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\ \ه\ـ\ \ت"/>
    <numFmt numFmtId="165" formatCode="0\ \م"/>
    <numFmt numFmtId="166" formatCode="0\ \ک"/>
    <numFmt numFmtId="167" formatCode="0\ \م\²"/>
    <numFmt numFmtId="168" formatCode="0\ \ع\د\د"/>
    <numFmt numFmtId="169" formatCode="#,##0.0"/>
    <numFmt numFmtId="170" formatCode="#,##0\ \ه\ـ\ \ت"/>
  </numFmts>
  <fonts count="5" x14ac:knownFonts="1">
    <font>
      <sz val="10"/>
      <name val="Arial"/>
      <family val="2"/>
    </font>
    <font>
      <sz val="8"/>
      <name val="Tahoma"/>
      <family val="2"/>
    </font>
    <font>
      <sz val="10"/>
      <name val="Vazir FD"/>
      <family val="2"/>
    </font>
    <font>
      <sz val="10"/>
      <color rgb="FFFF0000"/>
      <name val="Vazir FD"/>
      <family val="2"/>
    </font>
    <font>
      <sz val="14"/>
      <name val="Vazir FD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7" fontId="2" fillId="0" borderId="0" xfId="0" applyNumberFormat="1" applyFont="1" applyAlignment="1">
      <alignment horizontal="center" vertical="center" readingOrder="2"/>
    </xf>
    <xf numFmtId="164" fontId="2" fillId="0" borderId="0" xfId="0" applyNumberFormat="1" applyFont="1" applyAlignment="1">
      <alignment horizontal="center" vertical="center" readingOrder="2"/>
    </xf>
    <xf numFmtId="166" fontId="2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165" fontId="2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horizontal="center" vertical="center" textRotation="90"/>
    </xf>
    <xf numFmtId="168" fontId="2" fillId="0" borderId="0" xfId="0" applyNumberFormat="1" applyFont="1" applyAlignment="1">
      <alignment horizontal="center" vertical="center" readingOrder="2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9" fontId="3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 readingOrder="2"/>
    </xf>
    <xf numFmtId="9" fontId="3" fillId="2" borderId="7" xfId="0" applyNumberFormat="1" applyFont="1" applyFill="1" applyBorder="1" applyAlignment="1">
      <alignment horizontal="center" vertical="center" readingOrder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70" formatCode="#,##0\ \ه\ـ\ \ت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64" formatCode="0\ \ه\ـ\ \ت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64" formatCode="0\ \ه\ـ\ \ت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68" formatCode="0\ \ع\د\د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68" formatCode="0\ \ع\د\د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64" formatCode="0\ \ه\ـ\ \ت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65" formatCode="0\ \م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66" formatCode="0\ \ک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64" formatCode="0\ \ه\ـ\ \ت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167" formatCode="0\ \م\²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 FD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3" formatCode="#,##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3" formatCode="#,##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0" formatCode="General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0" formatCode="General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3" formatCode="#,##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3" formatCode="#,##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0" formatCode="General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0" formatCode="General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3" formatCode="#,##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3" formatCode="#,##0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0" formatCode="General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numFmt numFmtId="0" formatCode="General"/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A65031-576E-4F08-862A-0109AF4B6CA4}" name="Table134" displayName="Table134" ref="B1:E11" totalsRowCount="1" headerRowDxfId="61" dataDxfId="60">
  <autoFilter ref="B1:E10" xr:uid="{0A35822E-E862-4D20-A67C-58722A42FF3C}"/>
  <tableColumns count="4">
    <tableColumn id="1" xr3:uid="{E46CAC6F-DC4F-4F81-BF91-07D83B6AA7B0}" name="طول" totalsRowFunction="sum" dataDxfId="59" totalsRowDxfId="58"/>
    <tableColumn id="2" xr3:uid="{70AD685A-75E3-47FC-A890-E24ED9C7D641}" name="عرض" totalsRowFunction="custom" dataDxfId="57" totalsRowDxfId="56">
      <totalsRowFormula>SUBTOTAL(109,C2:C10)</totalsRowFormula>
    </tableColumn>
    <tableColumn id="3" xr3:uid="{71305915-EA32-4D1C-B23F-65E0F4EC58B3}" name="متر مربع" totalsRowFunction="custom" dataDxfId="55" totalsRowDxfId="54">
      <calculatedColumnFormula>Table134[[#This Row],[طول]]*Table134[[#This Row],[عرض]]/1000000</calculatedColumnFormula>
      <totalsRowFormula>SUBTOTAL(109,D2:D10)</totalsRowFormula>
    </tableColumn>
    <tableColumn id="4" xr3:uid="{40797CFB-AE2A-4283-9AE6-89686E231BB8}" name="قيمت" totalsRowFunction="custom" dataDxfId="53" totalsRowDxfId="52">
      <calculatedColumnFormula>Table134[[#This Row],[متر مربع]]*$F$2</calculatedColumnFormula>
      <totalsRowFormula>SUBTOTAL(109,E2:E10)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E2DBF5-98FB-40EF-BE9E-B5ECD9B3880A}" name="Table13" displayName="Table13" ref="B1:E11" totalsRowCount="1" headerRowDxfId="51" dataDxfId="50">
  <autoFilter ref="B1:E10" xr:uid="{0A35822E-E862-4D20-A67C-58722A42FF3C}"/>
  <tableColumns count="4">
    <tableColumn id="1" xr3:uid="{A02FC31D-D135-49A3-8C31-FBF3CED9771D}" name="طول" totalsRowFunction="sum" dataDxfId="49" totalsRowDxfId="48"/>
    <tableColumn id="2" xr3:uid="{4CBF1402-8083-40EF-95A5-B7490C452C28}" name="عرض" totalsRowFunction="custom" dataDxfId="47" totalsRowDxfId="46">
      <totalsRowFormula>SUBTOTAL(109,C2:C10)</totalsRowFormula>
    </tableColumn>
    <tableColumn id="3" xr3:uid="{F31AEE6D-0B30-4D75-91EB-402F925252AA}" name="متر مربع" totalsRowFunction="custom" dataDxfId="45" totalsRowDxfId="44">
      <calculatedColumnFormula>Table13[[#This Row],[طول]]*Table13[[#This Row],[عرض]]/1000000</calculatedColumnFormula>
      <totalsRowFormula>SUBTOTAL(109,D2:D10)</totalsRowFormula>
    </tableColumn>
    <tableColumn id="4" xr3:uid="{2CAF634D-B3B5-4A3D-92EB-4BC66EFFE6AE}" name="قيمت" totalsRowFunction="custom" dataDxfId="43" totalsRowDxfId="42">
      <calculatedColumnFormula>Table13[[#This Row],[متر مربع]]*$F$2</calculatedColumnFormula>
      <totalsRowFormula>SUBTOTAL(109,E2:E10)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0F0207-4316-4692-BA45-6B25BA7FED46}" name="Table1" displayName="Table1" ref="B1:E11" totalsRowCount="1" headerRowDxfId="41" dataDxfId="40">
  <autoFilter ref="B1:E10" xr:uid="{0A35822E-E862-4D20-A67C-58722A42FF3C}"/>
  <tableColumns count="4">
    <tableColumn id="1" xr3:uid="{E67C015C-5379-4214-B54E-FCCAE37C81AC}" name="طول" totalsRowFunction="sum" dataDxfId="39" totalsRowDxfId="38"/>
    <tableColumn id="2" xr3:uid="{2964F2FE-2C0F-4A54-9250-EE08B0029EFA}" name="عرض" totalsRowFunction="custom" dataDxfId="37" totalsRowDxfId="36">
      <totalsRowFormula>SUBTOTAL(109,C2:C10)</totalsRowFormula>
    </tableColumn>
    <tableColumn id="3" xr3:uid="{C9BAD48D-9D83-4790-A746-CFD423FAA0B9}" name="متر مربع" totalsRowFunction="custom" dataDxfId="35" totalsRowDxfId="34">
      <calculatedColumnFormula>Table1[[#This Row],[طول]]*Table1[[#This Row],[عرض]]/1000000</calculatedColumnFormula>
      <totalsRowFormula>SUBTOTAL(109,D2:D10)</totalsRowFormula>
    </tableColumn>
    <tableColumn id="4" xr3:uid="{10B5A040-047C-4460-A1B5-854B4676DC11}" name="قيمت" totalsRowFunction="custom" dataDxfId="33" totalsRowDxfId="32">
      <calculatedColumnFormula>Table1[[#This Row],[متر مربع]]*$F$2</calculatedColumnFormula>
      <totalsRowFormula>SUBTOTAL(109,E2:E10)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5C79B6-5A02-4793-A6F7-7085F0FBC8E6}" name="Table4" displayName="Table4" ref="C1:R37" totalsRowCount="1" headerRowDxfId="31" dataDxfId="30">
  <autoFilter ref="C1:R36" xr:uid="{A140D763-EB3B-4B77-949F-B8E14AA15F47}"/>
  <tableColumns count="16">
    <tableColumn id="1" xr3:uid="{14FC1303-F82E-4408-849F-0F719E469DA0}" name="عنوان قطعه" dataDxfId="29" totalsRowDxfId="16"/>
    <tableColumn id="2" xr3:uid="{814D4BDA-EBE5-4FCF-A410-0A855003A141}" name="طول (سم)" dataDxfId="28" totalsRowDxfId="15"/>
    <tableColumn id="3" xr3:uid="{E537D51A-CF72-4BE7-BE1A-AFA7E7C2E411}" name="Column1" dataDxfId="27" totalsRowDxfId="14"/>
    <tableColumn id="4" xr3:uid="{3848335A-718E-473C-B538-9CB35C54841F}" name="عرض (سم)" dataDxfId="26" totalsRowDxfId="13"/>
    <tableColumn id="5" xr3:uid="{4D64191F-2501-437E-9957-19E2085267EF}" name="مساحت" totalsRowFunction="custom" dataDxfId="25" totalsRowDxfId="12">
      <calculatedColumnFormula>ROUND(F2*D2/10000,2)</calculatedColumnFormula>
      <totalsRowFormula>SUBTOTAL(109,G2:G36)</totalsRowFormula>
    </tableColumn>
    <tableColumn id="6" xr3:uid="{F98AEE63-A84E-401F-8BF0-AB9119C904FC}" name="قیمت قطعه" totalsRowFunction="custom" dataDxfId="0" totalsRowDxfId="11">
      <calculatedColumnFormula>ROUND(G2*(($U$14+$U$17+$U$18)/$U$15),0)</calculatedColumnFormula>
      <totalsRowFormula>SUBTOTAL(109,H2:H36)</totalsRowFormula>
    </tableColumn>
    <tableColumn id="7" xr3:uid="{9B23074B-8344-4913-AA46-0DDDF1D6FD7B}" name="وزن" totalsRowFunction="custom" dataDxfId="24" totalsRowDxfId="10">
      <calculatedColumnFormula>ROUND(G2*$U$1,1)</calculatedColumnFormula>
      <totalsRowFormula>SUBTOTAL(109,I2:I36)</totalsRowFormula>
    </tableColumn>
    <tableColumn id="8" xr3:uid="{ED8BD20E-5ED6-4829-8AE5-4B0A55F16F8E}" name="نوار طول" dataDxfId="23" totalsRowDxfId="9"/>
    <tableColumn id="9" xr3:uid="{F4BC0456-D865-4580-95A1-E98259B3D005}" name="نوار عرض" dataDxfId="22" totalsRowDxfId="8"/>
    <tableColumn id="10" xr3:uid="{07A65718-BF4C-4DBD-B3DD-64F401B0F730}" name="طول نوار" totalsRowFunction="custom" dataDxfId="21" totalsRowDxfId="7">
      <calculatedColumnFormula>ROUND((F2*K2+D2*J2)/100,1)</calculatedColumnFormula>
      <totalsRowFormula>SUBTOTAL(109,L2:L36)</totalsRowFormula>
    </tableColumn>
    <tableColumn id="11" xr3:uid="{A8ED2E39-F4E3-414A-9775-C45183142814}" name="قیمت نوار" totalsRowFunction="custom" dataDxfId="20" totalsRowDxfId="6">
      <calculatedColumnFormula>L2*$U$10</calculatedColumnFormula>
      <totalsRowFormula>SUBTOTAL(109,M2:M36)</totalsRowFormula>
    </tableColumn>
    <tableColumn id="14" xr3:uid="{80EE4094-C641-4D56-81C6-262BBF7EF278}" name="پیچ بلند" totalsRowFunction="sum" totalsRowDxfId="5"/>
    <tableColumn id="13" xr3:uid="{65C671E1-4996-46C8-840D-9BBB49B2E177}" name="پیچ کوتاه" totalsRowFunction="sum" totalsRowDxfId="4"/>
    <tableColumn id="15" xr3:uid="{CB6BBAC9-CEF6-485F-824E-36908B6B9DE8}" name="قیمت پیچ" totalsRowFunction="sum" dataDxfId="19" totalsRowDxfId="3">
      <calculatedColumnFormula>(Table4[[#This Row],[پیچ بلند]]*$U$11+Table4[[#This Row],[پیچ کوتاه]]*$U$12+(Table4[[#This Row],[پیچ کوتاه]]+Table4[[#This Row],[پیچ بلند]])*$U$13)/1000</calculatedColumnFormula>
    </tableColumn>
    <tableColumn id="16" xr3:uid="{B60C3651-8AC5-4DB9-B001-CF743186B194}" name="لوازم" totalsRowFunction="sum" dataDxfId="18" totalsRowDxfId="2"/>
    <tableColumn id="12" xr3:uid="{22D7477B-C1E5-4C78-8731-55A097674FCC}" name="قیمت کل" totalsRowFunction="custom" dataDxfId="17" totalsRowDxfId="1">
      <calculatedColumnFormula>Table4[[#This Row],[قیمت قطعه]]+Table4[[#This Row],[قیمت نوار]]+Table4[[#This Row],[لوازم]]+Table4[[#This Row],[قیمت پیچ]]</calculatedColumnFormula>
      <totalsRowFormula>SUBTOTAL(109,R2:R36)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3D15-EFD8-4149-9F94-6A10EE8F915B}">
  <dimension ref="A1:N11"/>
  <sheetViews>
    <sheetView zoomScaleNormal="100" workbookViewId="0">
      <selection activeCell="K2" sqref="K2:M10"/>
    </sheetView>
  </sheetViews>
  <sheetFormatPr defaultColWidth="11.5703125" defaultRowHeight="10.5" x14ac:dyDescent="0.2"/>
  <cols>
    <col min="1" max="1" width="20.5703125" style="1" customWidth="1"/>
    <col min="2" max="9" width="11.5703125" style="1"/>
    <col min="10" max="10" width="16.140625" style="1" customWidth="1"/>
    <col min="11" max="11" width="4.140625" style="1" customWidth="1"/>
    <col min="12" max="12" width="2" style="1" customWidth="1"/>
    <col min="13" max="13" width="3.7109375" style="1" customWidth="1"/>
    <col min="14" max="14" width="11.5703125" style="1" customWidth="1"/>
    <col min="15" max="16384" width="11.5703125" style="1"/>
  </cols>
  <sheetData>
    <row r="1" spans="1:14" s="3" customFormat="1" x14ac:dyDescent="0.2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0</v>
      </c>
      <c r="H1" s="3" t="s">
        <v>15</v>
      </c>
      <c r="I1" s="3" t="s">
        <v>18</v>
      </c>
      <c r="K1" s="30" t="s">
        <v>23</v>
      </c>
      <c r="L1" s="30"/>
      <c r="M1" s="30"/>
    </row>
    <row r="2" spans="1:14" x14ac:dyDescent="0.2">
      <c r="A2" s="1" t="s">
        <v>7</v>
      </c>
      <c r="B2" s="1">
        <f>G2*10</f>
        <v>1000</v>
      </c>
      <c r="C2" s="1">
        <f>G5*10</f>
        <v>500</v>
      </c>
      <c r="D2" s="1">
        <f>Table134[[#This Row],[طول]]*Table134[[#This Row],[عرض]]/1000000</f>
        <v>0.5</v>
      </c>
      <c r="E2" s="5">
        <f>Table134[[#This Row],[متر مربع]]*$F$2</f>
        <v>52255.964645107349</v>
      </c>
      <c r="F2" s="5">
        <f>F5/F8</f>
        <v>104511.9292902147</v>
      </c>
      <c r="G2" s="1">
        <v>100</v>
      </c>
      <c r="H2" s="1">
        <v>1.6</v>
      </c>
      <c r="I2" s="1">
        <v>30</v>
      </c>
      <c r="J2" s="1" t="s">
        <v>25</v>
      </c>
      <c r="K2" s="1">
        <f>ROUND( Table134[[#This Row],[طول]]/10,0)</f>
        <v>100</v>
      </c>
      <c r="L2" s="6" t="s">
        <v>24</v>
      </c>
      <c r="M2" s="7">
        <f>ROUND(Table134[[#This Row],[عرض]]/10,0)</f>
        <v>50</v>
      </c>
      <c r="N2" s="7" t="s">
        <v>25</v>
      </c>
    </row>
    <row r="3" spans="1:14" x14ac:dyDescent="0.2">
      <c r="A3" s="1" t="s">
        <v>20</v>
      </c>
      <c r="B3" s="1">
        <f>(G8-H5-H2)*10</f>
        <v>954</v>
      </c>
      <c r="C3" s="1">
        <f>(G5-H8*2)*10</f>
        <v>400</v>
      </c>
      <c r="D3" s="1">
        <f>Table134[[#This Row],[طول]]*Table134[[#This Row],[عرض]]/1000000</f>
        <v>0.38159999999999999</v>
      </c>
      <c r="E3" s="5">
        <f>Table134[[#This Row],[متر مربع]]*$F$2</f>
        <v>39881.752217145928</v>
      </c>
      <c r="J3" s="1" t="s">
        <v>25</v>
      </c>
      <c r="K3" s="1">
        <f>ROUND( Table134[[#This Row],[طول]]/10,0)</f>
        <v>95</v>
      </c>
      <c r="L3" s="6" t="s">
        <v>24</v>
      </c>
      <c r="M3" s="7">
        <f>ROUND(Table134[[#This Row],[عرض]]/10,0)</f>
        <v>40</v>
      </c>
      <c r="N3" s="7" t="s">
        <v>26</v>
      </c>
    </row>
    <row r="4" spans="1:14" x14ac:dyDescent="0.2">
      <c r="A4" s="1" t="s">
        <v>21</v>
      </c>
      <c r="B4" s="1">
        <f>(G8-H5-H2)*10</f>
        <v>954</v>
      </c>
      <c r="C4" s="1">
        <f>(G5-H8*2)*10</f>
        <v>400</v>
      </c>
      <c r="D4" s="1">
        <f>Table134[[#This Row],[طول]]*Table134[[#This Row],[عرض]]/1000000</f>
        <v>0.38159999999999999</v>
      </c>
      <c r="E4" s="5">
        <f>Table134[[#This Row],[متر مربع]]*$F$2</f>
        <v>39881.752217145928</v>
      </c>
      <c r="F4" s="3" t="s">
        <v>5</v>
      </c>
      <c r="G4" s="3" t="s">
        <v>1</v>
      </c>
      <c r="H4" s="3" t="s">
        <v>16</v>
      </c>
      <c r="I4" s="3" t="s">
        <v>19</v>
      </c>
      <c r="J4" s="1" t="s">
        <v>25</v>
      </c>
      <c r="K4" s="1">
        <f>ROUND( Table134[[#This Row],[طول]]/10,0)</f>
        <v>95</v>
      </c>
      <c r="L4" s="6" t="s">
        <v>24</v>
      </c>
      <c r="M4" s="7">
        <f>ROUND(Table134[[#This Row],[عرض]]/10,0)</f>
        <v>40</v>
      </c>
      <c r="N4" s="7" t="s">
        <v>26</v>
      </c>
    </row>
    <row r="5" spans="1:14" x14ac:dyDescent="0.2">
      <c r="A5" s="1" t="s">
        <v>8</v>
      </c>
      <c r="B5" s="1">
        <f>(G2-H8*2-H2*2)*10</f>
        <v>868</v>
      </c>
      <c r="C5" s="1">
        <f>I2*10</f>
        <v>300</v>
      </c>
      <c r="D5" s="4">
        <f>Table134[[#This Row],[طول]]*Table134[[#This Row],[عرض]]/1000000</f>
        <v>0.26040000000000002</v>
      </c>
      <c r="E5" s="5">
        <f>Table134[[#This Row],[متر مربع]]*$F$2</f>
        <v>27214.906387171908</v>
      </c>
      <c r="F5" s="5">
        <v>700000</v>
      </c>
      <c r="G5" s="1">
        <v>50</v>
      </c>
      <c r="H5" s="1">
        <v>3</v>
      </c>
      <c r="I5" s="1">
        <v>10</v>
      </c>
      <c r="J5" s="1" t="s">
        <v>26</v>
      </c>
      <c r="K5" s="1">
        <f>ROUND( Table134[[#This Row],[طول]]/10,0)</f>
        <v>87</v>
      </c>
      <c r="L5" s="6" t="s">
        <v>24</v>
      </c>
      <c r="M5" s="7">
        <f>ROUND(Table134[[#This Row],[عرض]]/10,0)</f>
        <v>30</v>
      </c>
      <c r="N5" s="7"/>
    </row>
    <row r="6" spans="1:14" x14ac:dyDescent="0.2">
      <c r="A6" s="1" t="s">
        <v>9</v>
      </c>
      <c r="B6" s="1">
        <f>(G2-H8*2-H2*2)*10</f>
        <v>868</v>
      </c>
      <c r="C6" s="1">
        <f>I2*10</f>
        <v>300</v>
      </c>
      <c r="D6" s="4">
        <f>Table134[[#This Row],[طول]]*Table134[[#This Row],[عرض]]/1000000</f>
        <v>0.26040000000000002</v>
      </c>
      <c r="E6" s="5">
        <f>Table134[[#This Row],[متر مربع]]*$F$2</f>
        <v>27214.906387171908</v>
      </c>
      <c r="J6" s="1" t="s">
        <v>25</v>
      </c>
      <c r="K6" s="1">
        <f>ROUND( Table134[[#This Row],[طول]]/10,0)</f>
        <v>87</v>
      </c>
      <c r="L6" s="6" t="s">
        <v>24</v>
      </c>
      <c r="M6" s="7">
        <f>ROUND(Table134[[#This Row],[عرض]]/10,0)</f>
        <v>30</v>
      </c>
      <c r="N6" s="7"/>
    </row>
    <row r="7" spans="1:14" x14ac:dyDescent="0.2">
      <c r="A7" s="1" t="s">
        <v>11</v>
      </c>
      <c r="B7" s="1">
        <f>(G2-H8*2-H2*2)*10</f>
        <v>868</v>
      </c>
      <c r="C7" s="1">
        <f>I5*10</f>
        <v>100</v>
      </c>
      <c r="D7" s="4">
        <f>Table134[[#This Row],[طول]]*Table134[[#This Row],[عرض]]/1000000</f>
        <v>8.6800000000000002E-2</v>
      </c>
      <c r="E7" s="5">
        <f>Table134[[#This Row],[متر مربع]]*$F$2</f>
        <v>9071.6354623906354</v>
      </c>
      <c r="F7" s="3" t="s">
        <v>6</v>
      </c>
      <c r="G7" s="3" t="s">
        <v>14</v>
      </c>
      <c r="H7" s="6" t="s">
        <v>17</v>
      </c>
      <c r="I7" s="3" t="s">
        <v>22</v>
      </c>
      <c r="J7" s="1" t="s">
        <v>26</v>
      </c>
      <c r="K7" s="1">
        <f>ROUND( Table134[[#This Row],[طول]]/10,0)</f>
        <v>87</v>
      </c>
      <c r="L7" s="6" t="s">
        <v>24</v>
      </c>
      <c r="M7" s="7">
        <f>ROUND(Table134[[#This Row],[عرض]]/10,0)</f>
        <v>10</v>
      </c>
      <c r="N7" s="7"/>
    </row>
    <row r="8" spans="1:14" x14ac:dyDescent="0.2">
      <c r="A8" s="1" t="s">
        <v>12</v>
      </c>
      <c r="B8" s="1">
        <f>(G2-H8*2-H2*2)*10</f>
        <v>868</v>
      </c>
      <c r="C8" s="1">
        <f>I5*10</f>
        <v>100</v>
      </c>
      <c r="D8" s="4">
        <f>Table134[[#This Row],[طول]]*Table134[[#This Row],[عرض]]/1000000</f>
        <v>8.6800000000000002E-2</v>
      </c>
      <c r="E8" s="5">
        <f>Table134[[#This Row],[متر مربع]]*$F$2</f>
        <v>9071.6354623906354</v>
      </c>
      <c r="F8" s="1">
        <f>366*183/10000</f>
        <v>6.6978</v>
      </c>
      <c r="G8" s="1">
        <v>100</v>
      </c>
      <c r="H8" s="1">
        <v>5</v>
      </c>
      <c r="I8" s="5">
        <f>Table134[[#Totals],[قيمت]]</f>
        <v>222735.82370330556</v>
      </c>
      <c r="J8" s="1" t="s">
        <v>26</v>
      </c>
      <c r="K8" s="1">
        <f>ROUND( Table134[[#This Row],[طول]]/10,0)</f>
        <v>87</v>
      </c>
      <c r="L8" s="6" t="s">
        <v>24</v>
      </c>
      <c r="M8" s="7">
        <f>ROUND(Table134[[#This Row],[عرض]]/10,0)</f>
        <v>10</v>
      </c>
      <c r="N8" s="7"/>
    </row>
    <row r="9" spans="1:14" x14ac:dyDescent="0.2">
      <c r="A9" s="1" t="s">
        <v>10</v>
      </c>
      <c r="B9" s="1">
        <f>(G2-H8*2-H2*2)*10</f>
        <v>868</v>
      </c>
      <c r="C9" s="1">
        <f>I5*10</f>
        <v>100</v>
      </c>
      <c r="D9" s="1">
        <f>Table134[[#This Row],[طول]]*Table134[[#This Row],[عرض]]/1000000</f>
        <v>8.6800000000000002E-2</v>
      </c>
      <c r="E9" s="5">
        <f>Table134[[#This Row],[متر مربع]]*$F$2</f>
        <v>9071.6354623906354</v>
      </c>
      <c r="J9" s="1" t="s">
        <v>26</v>
      </c>
      <c r="K9" s="1">
        <f>ROUND( Table134[[#This Row],[طول]]/10,0)</f>
        <v>87</v>
      </c>
      <c r="L9" s="6" t="s">
        <v>24</v>
      </c>
      <c r="M9" s="7">
        <f>ROUND(Table134[[#This Row],[عرض]]/10,0)</f>
        <v>10</v>
      </c>
      <c r="N9" s="7"/>
    </row>
    <row r="10" spans="1:14" x14ac:dyDescent="0.2">
      <c r="A10" s="1" t="s">
        <v>13</v>
      </c>
      <c r="B10" s="1">
        <f>(G2-H8*2-H2*2)*10</f>
        <v>868</v>
      </c>
      <c r="C10" s="1">
        <f>I5*10</f>
        <v>100</v>
      </c>
      <c r="D10" s="1">
        <f>Table134[[#This Row],[طول]]*Table134[[#This Row],[عرض]]/1000000</f>
        <v>8.6800000000000002E-2</v>
      </c>
      <c r="E10" s="5">
        <f>Table134[[#This Row],[متر مربع]]*$F$2</f>
        <v>9071.6354623906354</v>
      </c>
      <c r="J10" s="1" t="s">
        <v>26</v>
      </c>
      <c r="K10" s="1">
        <f>ROUND( Table134[[#This Row],[طول]]/10,0)</f>
        <v>87</v>
      </c>
      <c r="L10" s="6" t="s">
        <v>24</v>
      </c>
      <c r="M10" s="7">
        <f>ROUND(Table134[[#This Row],[عرض]]/10,0)</f>
        <v>10</v>
      </c>
      <c r="N10" s="7"/>
    </row>
    <row r="11" spans="1:14" x14ac:dyDescent="0.2">
      <c r="B11" s="1">
        <f>SUBTOTAL(109,Table134[طول])</f>
        <v>8116</v>
      </c>
      <c r="C11" s="1">
        <f t="shared" ref="C11:E11" si="0">SUBTOTAL(109,C2:C10)</f>
        <v>2300</v>
      </c>
      <c r="D11" s="4">
        <f>SUBTOTAL(109,D2:D10)</f>
        <v>2.1312000000000002</v>
      </c>
      <c r="E11" s="5">
        <f t="shared" si="0"/>
        <v>222735.82370330556</v>
      </c>
    </row>
  </sheetData>
  <mergeCells count="1">
    <mergeCell ref="K1:M1"/>
  </mergeCells>
  <pageMargins left="0.75" right="0.75" top="1" bottom="1" header="0.5" footer="0.5"/>
  <pageSetup paperSize="9" orientation="portrait" horizontalDpi="300" verticalDpi="30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F13F-88DD-4E43-9DA0-C32332A4D781}">
  <dimension ref="A1:O13"/>
  <sheetViews>
    <sheetView zoomScaleNormal="100" workbookViewId="0">
      <selection activeCell="K2" sqref="K2:M10"/>
    </sheetView>
  </sheetViews>
  <sheetFormatPr defaultColWidth="11.5703125" defaultRowHeight="10.5" x14ac:dyDescent="0.2"/>
  <cols>
    <col min="1" max="1" width="20.5703125" style="1" customWidth="1"/>
    <col min="2" max="9" width="11.5703125" style="1"/>
    <col min="10" max="10" width="16.140625" style="1" customWidth="1"/>
    <col min="11" max="11" width="4.140625" style="1" customWidth="1"/>
    <col min="12" max="12" width="2" style="1" customWidth="1"/>
    <col min="13" max="13" width="3.7109375" style="1" customWidth="1"/>
    <col min="14" max="14" width="11.5703125" style="1" customWidth="1"/>
    <col min="15" max="16384" width="11.5703125" style="1"/>
  </cols>
  <sheetData>
    <row r="1" spans="1:15" s="3" customFormat="1" x14ac:dyDescent="0.2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0</v>
      </c>
      <c r="H1" s="3" t="s">
        <v>15</v>
      </c>
      <c r="I1" s="3" t="s">
        <v>18</v>
      </c>
      <c r="K1" s="30" t="s">
        <v>23</v>
      </c>
      <c r="L1" s="30"/>
      <c r="M1" s="30"/>
    </row>
    <row r="2" spans="1:15" x14ac:dyDescent="0.2">
      <c r="A2" s="1" t="s">
        <v>7</v>
      </c>
      <c r="B2" s="1">
        <f>G2*10</f>
        <v>800</v>
      </c>
      <c r="C2" s="1">
        <f>G5*10</f>
        <v>500</v>
      </c>
      <c r="D2" s="1">
        <f>Table13[[#This Row],[طول]]*Table13[[#This Row],[عرض]]/1000000</f>
        <v>0.4</v>
      </c>
      <c r="E2" s="5">
        <f>Table13[[#This Row],[متر مربع]]*$F$2</f>
        <v>41804.771716085881</v>
      </c>
      <c r="F2" s="5">
        <f>F5/F8</f>
        <v>104511.9292902147</v>
      </c>
      <c r="G2" s="1">
        <v>80</v>
      </c>
      <c r="H2" s="1">
        <v>1.6</v>
      </c>
      <c r="I2" s="1">
        <v>30</v>
      </c>
      <c r="J2" s="1" t="s">
        <v>25</v>
      </c>
      <c r="K2" s="1">
        <f>ROUND( Table13[[#This Row],[طول]]/10,0)</f>
        <v>80</v>
      </c>
      <c r="L2" s="6" t="s">
        <v>24</v>
      </c>
      <c r="M2" s="7">
        <f>ROUND(Table13[[#This Row],[عرض]]/10,0)</f>
        <v>50</v>
      </c>
      <c r="N2" s="7" t="s">
        <v>25</v>
      </c>
    </row>
    <row r="3" spans="1:15" x14ac:dyDescent="0.2">
      <c r="A3" s="1" t="s">
        <v>20</v>
      </c>
      <c r="B3" s="1">
        <f>(G8-H5-H2)*10</f>
        <v>1054</v>
      </c>
      <c r="C3" s="1">
        <f>(G5-H8*2)*10</f>
        <v>400</v>
      </c>
      <c r="D3" s="1">
        <f>Table13[[#This Row],[طول]]*Table13[[#This Row],[عرض]]/1000000</f>
        <v>0.42159999999999997</v>
      </c>
      <c r="E3" s="5">
        <f>Table13[[#This Row],[متر مربع]]*$F$2</f>
        <v>44062.229388754517</v>
      </c>
      <c r="J3" s="1" t="s">
        <v>25</v>
      </c>
      <c r="K3" s="1">
        <f>ROUND( Table13[[#This Row],[طول]]/10,0)</f>
        <v>105</v>
      </c>
      <c r="L3" s="6" t="s">
        <v>24</v>
      </c>
      <c r="M3" s="7">
        <f>ROUND(Table13[[#This Row],[عرض]]/10,0)</f>
        <v>40</v>
      </c>
      <c r="N3" s="7" t="s">
        <v>26</v>
      </c>
    </row>
    <row r="4" spans="1:15" x14ac:dyDescent="0.2">
      <c r="A4" s="1" t="s">
        <v>21</v>
      </c>
      <c r="B4" s="1">
        <f>(G8-H5-H2)*10</f>
        <v>1054</v>
      </c>
      <c r="C4" s="1">
        <f>(G5-H8*2)*10</f>
        <v>400</v>
      </c>
      <c r="D4" s="1">
        <f>Table13[[#This Row],[طول]]*Table13[[#This Row],[عرض]]/1000000</f>
        <v>0.42159999999999997</v>
      </c>
      <c r="E4" s="5">
        <f>Table13[[#This Row],[متر مربع]]*$F$2</f>
        <v>44062.229388754517</v>
      </c>
      <c r="F4" s="3" t="s">
        <v>5</v>
      </c>
      <c r="G4" s="3" t="s">
        <v>1</v>
      </c>
      <c r="H4" s="3" t="s">
        <v>16</v>
      </c>
      <c r="I4" s="3" t="s">
        <v>19</v>
      </c>
      <c r="J4" s="1" t="s">
        <v>25</v>
      </c>
      <c r="K4" s="1">
        <f>ROUND( Table13[[#This Row],[طول]]/10,0)</f>
        <v>105</v>
      </c>
      <c r="L4" s="6" t="s">
        <v>24</v>
      </c>
      <c r="M4" s="7">
        <f>ROUND(Table13[[#This Row],[عرض]]/10,0)</f>
        <v>40</v>
      </c>
      <c r="N4" s="7" t="s">
        <v>26</v>
      </c>
    </row>
    <row r="5" spans="1:15" x14ac:dyDescent="0.2">
      <c r="A5" s="1" t="s">
        <v>8</v>
      </c>
      <c r="B5" s="1">
        <f>(G2-H8*2-H2*2)*10</f>
        <v>668</v>
      </c>
      <c r="C5" s="1">
        <f>I2*10</f>
        <v>300</v>
      </c>
      <c r="D5" s="4">
        <f>Table13[[#This Row],[طول]]*Table13[[#This Row],[عرض]]/1000000</f>
        <v>0.20039999999999999</v>
      </c>
      <c r="E5" s="5">
        <f>Table13[[#This Row],[متر مربع]]*$F$2</f>
        <v>20944.190629759025</v>
      </c>
      <c r="F5" s="5">
        <v>700000</v>
      </c>
      <c r="G5" s="1">
        <v>50</v>
      </c>
      <c r="H5" s="1">
        <v>3</v>
      </c>
      <c r="I5" s="1">
        <v>10</v>
      </c>
      <c r="J5" s="1" t="s">
        <v>26</v>
      </c>
      <c r="K5" s="1">
        <f>ROUND( Table13[[#This Row],[طول]]/10,0)</f>
        <v>67</v>
      </c>
      <c r="L5" s="6" t="s">
        <v>24</v>
      </c>
      <c r="M5" s="7">
        <f>ROUND(Table13[[#This Row],[عرض]]/10,0)</f>
        <v>30</v>
      </c>
      <c r="N5" s="7"/>
    </row>
    <row r="6" spans="1:15" x14ac:dyDescent="0.2">
      <c r="A6" s="1" t="s">
        <v>9</v>
      </c>
      <c r="B6" s="1">
        <f>(G2-H8*2-H2*2)*10</f>
        <v>668</v>
      </c>
      <c r="C6" s="1">
        <f>I2*10</f>
        <v>300</v>
      </c>
      <c r="D6" s="4">
        <f>Table13[[#This Row],[طول]]*Table13[[#This Row],[عرض]]/1000000</f>
        <v>0.20039999999999999</v>
      </c>
      <c r="E6" s="5">
        <f>Table13[[#This Row],[متر مربع]]*$F$2</f>
        <v>20944.190629759025</v>
      </c>
      <c r="J6" s="1" t="s">
        <v>25</v>
      </c>
      <c r="K6" s="1">
        <f>ROUND( Table13[[#This Row],[طول]]/10,0)</f>
        <v>67</v>
      </c>
      <c r="L6" s="6" t="s">
        <v>24</v>
      </c>
      <c r="M6" s="7">
        <f>ROUND(Table13[[#This Row],[عرض]]/10,0)</f>
        <v>30</v>
      </c>
      <c r="N6" s="7"/>
    </row>
    <row r="7" spans="1:15" x14ac:dyDescent="0.2">
      <c r="A7" s="1" t="s">
        <v>11</v>
      </c>
      <c r="B7" s="1">
        <f>(G2-H8*2-H2*2)*10</f>
        <v>668</v>
      </c>
      <c r="C7" s="1">
        <f>I5*10</f>
        <v>100</v>
      </c>
      <c r="D7" s="4">
        <f>Table13[[#This Row],[طول]]*Table13[[#This Row],[عرض]]/1000000</f>
        <v>6.6799999999999998E-2</v>
      </c>
      <c r="E7" s="5">
        <f>Table13[[#This Row],[متر مربع]]*$F$2</f>
        <v>6981.3968765863419</v>
      </c>
      <c r="F7" s="3" t="s">
        <v>6</v>
      </c>
      <c r="G7" s="3" t="s">
        <v>14</v>
      </c>
      <c r="H7" s="6" t="s">
        <v>17</v>
      </c>
      <c r="I7" s="3" t="s">
        <v>22</v>
      </c>
      <c r="J7" s="1" t="s">
        <v>26</v>
      </c>
      <c r="K7" s="1">
        <f>ROUND( Table13[[#This Row],[طول]]/10,0)</f>
        <v>67</v>
      </c>
      <c r="L7" s="6" t="s">
        <v>24</v>
      </c>
      <c r="M7" s="7">
        <f>ROUND(Table13[[#This Row],[عرض]]/10,0)</f>
        <v>10</v>
      </c>
      <c r="N7" s="7"/>
    </row>
    <row r="8" spans="1:15" x14ac:dyDescent="0.2">
      <c r="A8" s="1" t="s">
        <v>12</v>
      </c>
      <c r="B8" s="1">
        <f>(G2-H8*2-H2*2)*10</f>
        <v>668</v>
      </c>
      <c r="C8" s="1">
        <f>I5*10</f>
        <v>100</v>
      </c>
      <c r="D8" s="4">
        <f>Table13[[#This Row],[طول]]*Table13[[#This Row],[عرض]]/1000000</f>
        <v>6.6799999999999998E-2</v>
      </c>
      <c r="E8" s="5">
        <f>Table13[[#This Row],[متر مربع]]*$F$2</f>
        <v>6981.3968765863419</v>
      </c>
      <c r="F8" s="1">
        <f>366*183/10000</f>
        <v>6.6978</v>
      </c>
      <c r="G8" s="1">
        <v>110</v>
      </c>
      <c r="H8" s="1">
        <v>5</v>
      </c>
      <c r="I8" s="5">
        <f>Table13[[#Totals],[قيمت]]</f>
        <v>199743.19925945831</v>
      </c>
      <c r="J8" s="1" t="s">
        <v>26</v>
      </c>
      <c r="K8" s="1">
        <f>ROUND( Table13[[#This Row],[طول]]/10,0)</f>
        <v>67</v>
      </c>
      <c r="L8" s="6" t="s">
        <v>24</v>
      </c>
      <c r="M8" s="7">
        <f>ROUND(Table13[[#This Row],[عرض]]/10,0)</f>
        <v>10</v>
      </c>
      <c r="N8" s="7"/>
    </row>
    <row r="9" spans="1:15" x14ac:dyDescent="0.2">
      <c r="A9" s="1" t="s">
        <v>10</v>
      </c>
      <c r="B9" s="1">
        <f>(G2-H8*2-H2*2)*10</f>
        <v>668</v>
      </c>
      <c r="C9" s="1">
        <f>I5*10</f>
        <v>100</v>
      </c>
      <c r="D9" s="1">
        <f>Table13[[#This Row],[طول]]*Table13[[#This Row],[عرض]]/1000000</f>
        <v>6.6799999999999998E-2</v>
      </c>
      <c r="E9" s="5">
        <f>Table13[[#This Row],[متر مربع]]*$F$2</f>
        <v>6981.3968765863419</v>
      </c>
      <c r="J9" s="1" t="s">
        <v>26</v>
      </c>
      <c r="K9" s="1">
        <f>ROUND( Table13[[#This Row],[طول]]/10,0)</f>
        <v>67</v>
      </c>
      <c r="L9" s="6" t="s">
        <v>24</v>
      </c>
      <c r="M9" s="7">
        <f>ROUND(Table13[[#This Row],[عرض]]/10,0)</f>
        <v>10</v>
      </c>
      <c r="N9" s="7"/>
    </row>
    <row r="10" spans="1:15" x14ac:dyDescent="0.2">
      <c r="A10" s="1" t="s">
        <v>13</v>
      </c>
      <c r="B10" s="1">
        <f>(G2-H8*2-H2*2)*10</f>
        <v>668</v>
      </c>
      <c r="C10" s="1">
        <f>I5*10</f>
        <v>100</v>
      </c>
      <c r="D10" s="1">
        <f>Table13[[#This Row],[طول]]*Table13[[#This Row],[عرض]]/1000000</f>
        <v>6.6799999999999998E-2</v>
      </c>
      <c r="E10" s="5">
        <f>Table13[[#This Row],[متر مربع]]*$F$2</f>
        <v>6981.3968765863419</v>
      </c>
      <c r="J10" s="1" t="s">
        <v>26</v>
      </c>
      <c r="K10" s="1">
        <f>ROUND( Table13[[#This Row],[طول]]/10,0)</f>
        <v>67</v>
      </c>
      <c r="L10" s="6" t="s">
        <v>24</v>
      </c>
      <c r="M10" s="7">
        <f>ROUND(Table13[[#This Row],[عرض]]/10,0)</f>
        <v>10</v>
      </c>
      <c r="N10" s="7"/>
    </row>
    <row r="11" spans="1:15" x14ac:dyDescent="0.2">
      <c r="B11" s="1">
        <f>SUBTOTAL(109,Table13[طول])</f>
        <v>6916</v>
      </c>
      <c r="C11" s="1">
        <f t="shared" ref="C11:E11" si="0">SUBTOTAL(109,C2:C10)</f>
        <v>2300</v>
      </c>
      <c r="D11" s="4">
        <f>SUBTOTAL(109,D2:D10)</f>
        <v>1.9111999999999996</v>
      </c>
      <c r="E11" s="5">
        <f t="shared" si="0"/>
        <v>199743.19925945831</v>
      </c>
    </row>
    <row r="12" spans="1:15" x14ac:dyDescent="0.2">
      <c r="O12" s="1" t="s">
        <v>28</v>
      </c>
    </row>
    <row r="13" spans="1:15" x14ac:dyDescent="0.2">
      <c r="O13" s="1" t="s">
        <v>27</v>
      </c>
    </row>
  </sheetData>
  <mergeCells count="1">
    <mergeCell ref="K1:M1"/>
  </mergeCells>
  <pageMargins left="0.75" right="0.75" top="1" bottom="1" header="0.5" footer="0.5"/>
  <pageSetup paperSize="9" orientation="portrait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zoomScaleNormal="100" workbookViewId="0">
      <selection activeCell="G9" sqref="G9"/>
    </sheetView>
  </sheetViews>
  <sheetFormatPr defaultColWidth="11.5703125" defaultRowHeight="10.5" x14ac:dyDescent="0.2"/>
  <cols>
    <col min="1" max="1" width="20.5703125" style="1" customWidth="1"/>
    <col min="2" max="9" width="11.5703125" style="1"/>
    <col min="10" max="10" width="16.140625" style="1" customWidth="1"/>
    <col min="11" max="11" width="4.140625" style="1" customWidth="1"/>
    <col min="12" max="12" width="2" style="1" customWidth="1"/>
    <col min="13" max="13" width="3.7109375" style="1" customWidth="1"/>
    <col min="14" max="14" width="11.5703125" style="1" customWidth="1"/>
    <col min="15" max="16384" width="11.5703125" style="1"/>
  </cols>
  <sheetData>
    <row r="1" spans="1:14" s="3" customFormat="1" x14ac:dyDescent="0.2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0</v>
      </c>
      <c r="H1" s="3" t="s">
        <v>15</v>
      </c>
      <c r="I1" s="3" t="s">
        <v>18</v>
      </c>
      <c r="K1" s="30" t="s">
        <v>23</v>
      </c>
      <c r="L1" s="30"/>
      <c r="M1" s="30"/>
    </row>
    <row r="2" spans="1:14" x14ac:dyDescent="0.2">
      <c r="A2" s="1" t="s">
        <v>7</v>
      </c>
      <c r="B2" s="1">
        <f>G2*10</f>
        <v>1000</v>
      </c>
      <c r="C2" s="1">
        <f>G5*10</f>
        <v>500</v>
      </c>
      <c r="D2" s="1">
        <f>Table1[[#This Row],[طول]]*Table1[[#This Row],[عرض]]/1000000</f>
        <v>0.5</v>
      </c>
      <c r="E2" s="5">
        <f>Table1[[#This Row],[متر مربع]]*$F$2</f>
        <v>52255.964645107349</v>
      </c>
      <c r="F2" s="5">
        <f>F5/F8</f>
        <v>104511.9292902147</v>
      </c>
      <c r="G2" s="1">
        <v>100</v>
      </c>
      <c r="H2" s="1">
        <v>1.6</v>
      </c>
      <c r="I2" s="1">
        <v>30</v>
      </c>
      <c r="J2" s="1" t="s">
        <v>25</v>
      </c>
      <c r="K2" s="1">
        <f>ROUND( Table1[[#This Row],[طول]]/10,0)</f>
        <v>100</v>
      </c>
      <c r="L2" s="6" t="s">
        <v>24</v>
      </c>
      <c r="M2" s="7">
        <f>ROUND(Table1[[#This Row],[عرض]]/10,0)</f>
        <v>50</v>
      </c>
      <c r="N2" s="7" t="s">
        <v>25</v>
      </c>
    </row>
    <row r="3" spans="1:14" x14ac:dyDescent="0.2">
      <c r="A3" s="1" t="s">
        <v>20</v>
      </c>
      <c r="B3" s="1">
        <f>(G8-H5-H2)*10</f>
        <v>754</v>
      </c>
      <c r="C3" s="1">
        <f>(G5-H8*2)*10</f>
        <v>400</v>
      </c>
      <c r="D3" s="1">
        <f>Table1[[#This Row],[طول]]*Table1[[#This Row],[عرض]]/1000000</f>
        <v>0.30159999999999998</v>
      </c>
      <c r="E3" s="5">
        <f>Table1[[#This Row],[متر مربع]]*$F$2</f>
        <v>31520.79787392875</v>
      </c>
      <c r="J3" s="1" t="s">
        <v>25</v>
      </c>
      <c r="K3" s="1">
        <f>ROUND( Table1[[#This Row],[طول]]/10,0)</f>
        <v>75</v>
      </c>
      <c r="L3" s="6" t="s">
        <v>24</v>
      </c>
      <c r="M3" s="7">
        <f>ROUND(Table1[[#This Row],[عرض]]/10,0)</f>
        <v>40</v>
      </c>
      <c r="N3" s="7" t="s">
        <v>26</v>
      </c>
    </row>
    <row r="4" spans="1:14" x14ac:dyDescent="0.2">
      <c r="A4" s="1" t="s">
        <v>21</v>
      </c>
      <c r="B4" s="1">
        <f>(G8-H5-H2)*10</f>
        <v>754</v>
      </c>
      <c r="C4" s="1">
        <f>(G5-H8*2)*10</f>
        <v>400</v>
      </c>
      <c r="D4" s="1">
        <f>Table1[[#This Row],[طول]]*Table1[[#This Row],[عرض]]/1000000</f>
        <v>0.30159999999999998</v>
      </c>
      <c r="E4" s="5">
        <f>Table1[[#This Row],[متر مربع]]*$F$2</f>
        <v>31520.79787392875</v>
      </c>
      <c r="F4" s="3" t="s">
        <v>5</v>
      </c>
      <c r="G4" s="3" t="s">
        <v>1</v>
      </c>
      <c r="H4" s="3" t="s">
        <v>16</v>
      </c>
      <c r="I4" s="3" t="s">
        <v>19</v>
      </c>
      <c r="J4" s="1" t="s">
        <v>25</v>
      </c>
      <c r="K4" s="1">
        <f>ROUND( Table1[[#This Row],[طول]]/10,0)</f>
        <v>75</v>
      </c>
      <c r="L4" s="6" t="s">
        <v>24</v>
      </c>
      <c r="M4" s="7">
        <f>ROUND(Table1[[#This Row],[عرض]]/10,0)</f>
        <v>40</v>
      </c>
      <c r="N4" s="7" t="s">
        <v>26</v>
      </c>
    </row>
    <row r="5" spans="1:14" x14ac:dyDescent="0.2">
      <c r="A5" s="1" t="s">
        <v>8</v>
      </c>
      <c r="B5" s="1">
        <f>(G2-H8*2-H2*2)*10</f>
        <v>868</v>
      </c>
      <c r="C5" s="1">
        <f>I2*10</f>
        <v>300</v>
      </c>
      <c r="D5" s="4">
        <f>Table1[[#This Row],[طول]]*Table1[[#This Row],[عرض]]/1000000</f>
        <v>0.26040000000000002</v>
      </c>
      <c r="E5" s="5">
        <f>Table1[[#This Row],[متر مربع]]*$F$2</f>
        <v>27214.906387171908</v>
      </c>
      <c r="F5" s="5">
        <v>700000</v>
      </c>
      <c r="G5" s="1">
        <v>50</v>
      </c>
      <c r="H5" s="1">
        <v>3</v>
      </c>
      <c r="I5" s="1">
        <v>10</v>
      </c>
      <c r="J5" s="1" t="s">
        <v>26</v>
      </c>
      <c r="K5" s="1">
        <f>ROUND( Table1[[#This Row],[طول]]/10,0)</f>
        <v>87</v>
      </c>
      <c r="L5" s="6" t="s">
        <v>24</v>
      </c>
      <c r="M5" s="7">
        <f>ROUND(Table1[[#This Row],[عرض]]/10,0)</f>
        <v>30</v>
      </c>
      <c r="N5" s="7"/>
    </row>
    <row r="6" spans="1:14" x14ac:dyDescent="0.2">
      <c r="A6" s="1" t="s">
        <v>9</v>
      </c>
      <c r="B6" s="1">
        <f>(G2-H8*2-H2*2)*10</f>
        <v>868</v>
      </c>
      <c r="C6" s="1">
        <f>I2*10</f>
        <v>300</v>
      </c>
      <c r="D6" s="4">
        <f>Table1[[#This Row],[طول]]*Table1[[#This Row],[عرض]]/1000000</f>
        <v>0.26040000000000002</v>
      </c>
      <c r="E6" s="5">
        <f>Table1[[#This Row],[متر مربع]]*$F$2</f>
        <v>27214.906387171908</v>
      </c>
      <c r="J6" s="1" t="s">
        <v>25</v>
      </c>
      <c r="K6" s="1">
        <f>ROUND( Table1[[#This Row],[طول]]/10,0)</f>
        <v>87</v>
      </c>
      <c r="L6" s="6" t="s">
        <v>24</v>
      </c>
      <c r="M6" s="7">
        <f>ROUND(Table1[[#This Row],[عرض]]/10,0)</f>
        <v>30</v>
      </c>
      <c r="N6" s="7"/>
    </row>
    <row r="7" spans="1:14" x14ac:dyDescent="0.2">
      <c r="A7" s="1" t="s">
        <v>11</v>
      </c>
      <c r="B7" s="1">
        <f>(G2-H8*2-H2*2)*10</f>
        <v>868</v>
      </c>
      <c r="C7" s="1">
        <f>I5*10</f>
        <v>100</v>
      </c>
      <c r="D7" s="4">
        <f>Table1[[#This Row],[طول]]*Table1[[#This Row],[عرض]]/1000000</f>
        <v>8.6800000000000002E-2</v>
      </c>
      <c r="E7" s="5">
        <f>Table1[[#This Row],[متر مربع]]*$F$2</f>
        <v>9071.6354623906354</v>
      </c>
      <c r="F7" s="3" t="s">
        <v>6</v>
      </c>
      <c r="G7" s="3" t="s">
        <v>14</v>
      </c>
      <c r="H7" s="6" t="s">
        <v>17</v>
      </c>
      <c r="I7" s="3" t="s">
        <v>22</v>
      </c>
      <c r="J7" s="1" t="s">
        <v>26</v>
      </c>
      <c r="K7" s="1">
        <f>ROUND( Table1[[#This Row],[طول]]/10,0)</f>
        <v>87</v>
      </c>
      <c r="L7" s="6" t="s">
        <v>24</v>
      </c>
      <c r="M7" s="7">
        <f>ROUND(Table1[[#This Row],[عرض]]/10,0)</f>
        <v>10</v>
      </c>
      <c r="N7" s="7"/>
    </row>
    <row r="8" spans="1:14" x14ac:dyDescent="0.2">
      <c r="A8" s="1" t="s">
        <v>12</v>
      </c>
      <c r="B8" s="1">
        <f>(G2-H8*2-H2*2)*10</f>
        <v>868</v>
      </c>
      <c r="C8" s="1">
        <f>I5*10</f>
        <v>100</v>
      </c>
      <c r="D8" s="4">
        <f>Table1[[#This Row],[طول]]*Table1[[#This Row],[عرض]]/1000000</f>
        <v>8.6800000000000002E-2</v>
      </c>
      <c r="E8" s="5">
        <f>Table1[[#This Row],[متر مربع]]*$F$2</f>
        <v>9071.6354623906354</v>
      </c>
      <c r="F8" s="1">
        <f>366*183/10000</f>
        <v>6.6978</v>
      </c>
      <c r="G8" s="1">
        <v>80</v>
      </c>
      <c r="H8" s="1">
        <v>5</v>
      </c>
      <c r="I8" s="5">
        <f>Table1[[#Totals],[قيمت]]</f>
        <v>206013.91501687121</v>
      </c>
      <c r="J8" s="1" t="s">
        <v>26</v>
      </c>
      <c r="K8" s="1">
        <f>ROUND( Table1[[#This Row],[طول]]/10,0)</f>
        <v>87</v>
      </c>
      <c r="L8" s="6" t="s">
        <v>24</v>
      </c>
      <c r="M8" s="7">
        <f>ROUND(Table1[[#This Row],[عرض]]/10,0)</f>
        <v>10</v>
      </c>
      <c r="N8" s="7"/>
    </row>
    <row r="9" spans="1:14" x14ac:dyDescent="0.2">
      <c r="A9" s="1" t="s">
        <v>10</v>
      </c>
      <c r="B9" s="1">
        <f>(G2-H8*2-H2*2)*10</f>
        <v>868</v>
      </c>
      <c r="C9" s="1">
        <f>I5*10</f>
        <v>100</v>
      </c>
      <c r="D9" s="1">
        <f>Table1[[#This Row],[طول]]*Table1[[#This Row],[عرض]]/1000000</f>
        <v>8.6800000000000002E-2</v>
      </c>
      <c r="E9" s="5">
        <f>Table1[[#This Row],[متر مربع]]*$F$2</f>
        <v>9071.6354623906354</v>
      </c>
      <c r="J9" s="1" t="s">
        <v>26</v>
      </c>
      <c r="K9" s="1">
        <f>ROUND( Table1[[#This Row],[طول]]/10,0)</f>
        <v>87</v>
      </c>
      <c r="L9" s="6" t="s">
        <v>24</v>
      </c>
      <c r="M9" s="7">
        <f>ROUND(Table1[[#This Row],[عرض]]/10,0)</f>
        <v>10</v>
      </c>
      <c r="N9" s="7"/>
    </row>
    <row r="10" spans="1:14" x14ac:dyDescent="0.2">
      <c r="A10" s="1" t="s">
        <v>13</v>
      </c>
      <c r="B10" s="1">
        <f>(G2-H8*2-H2*2)*10</f>
        <v>868</v>
      </c>
      <c r="C10" s="1">
        <f>I5*10</f>
        <v>100</v>
      </c>
      <c r="D10" s="1">
        <f>Table1[[#This Row],[طول]]*Table1[[#This Row],[عرض]]/1000000</f>
        <v>8.6800000000000002E-2</v>
      </c>
      <c r="E10" s="5">
        <f>Table1[[#This Row],[متر مربع]]*$F$2</f>
        <v>9071.6354623906354</v>
      </c>
      <c r="J10" s="1" t="s">
        <v>26</v>
      </c>
      <c r="K10" s="1">
        <f>ROUND( Table1[[#This Row],[طول]]/10,0)</f>
        <v>87</v>
      </c>
      <c r="L10" s="6" t="s">
        <v>24</v>
      </c>
      <c r="M10" s="7">
        <f>ROUND(Table1[[#This Row],[عرض]]/10,0)</f>
        <v>10</v>
      </c>
      <c r="N10" s="7"/>
    </row>
    <row r="11" spans="1:14" x14ac:dyDescent="0.2">
      <c r="B11" s="1">
        <f>SUBTOTAL(109,Table1[طول])</f>
        <v>7716</v>
      </c>
      <c r="C11" s="1">
        <f t="shared" ref="C11:E11" si="0">SUBTOTAL(109,C2:C10)</f>
        <v>2300</v>
      </c>
      <c r="D11" s="4">
        <f>SUBTOTAL(109,D2:D10)</f>
        <v>1.9711999999999998</v>
      </c>
      <c r="E11" s="5">
        <f t="shared" si="0"/>
        <v>206013.91501687121</v>
      </c>
    </row>
  </sheetData>
  <mergeCells count="1">
    <mergeCell ref="K1:M1"/>
  </mergeCells>
  <pageMargins left="0.75" right="0.75" top="1" bottom="1" header="0.5" footer="0.5"/>
  <pageSetup paperSize="9" orientation="portrait" horizontalDpi="300" verticalDpi="30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C22B-AE66-48B4-9000-17AE5D0B6F11}">
  <dimension ref="A1:W37"/>
  <sheetViews>
    <sheetView rightToLeft="1" tabSelected="1" topLeftCell="A4" workbookViewId="0">
      <selection activeCell="P10" sqref="P10"/>
    </sheetView>
  </sheetViews>
  <sheetFormatPr defaultRowHeight="15.75" x14ac:dyDescent="0.2"/>
  <cols>
    <col min="1" max="2" width="3.42578125" style="8" customWidth="1"/>
    <col min="3" max="3" width="12.28515625" style="8" customWidth="1"/>
    <col min="4" max="4" width="10.7109375" style="8" customWidth="1"/>
    <col min="5" max="5" width="1.85546875" style="8" customWidth="1"/>
    <col min="6" max="6" width="11.42578125" style="8" customWidth="1"/>
    <col min="7" max="7" width="9" style="8" customWidth="1"/>
    <col min="8" max="8" width="11.85546875" style="8" customWidth="1"/>
    <col min="9" max="9" width="5.85546875" style="8" customWidth="1"/>
    <col min="10" max="10" width="9.28515625" style="8" customWidth="1"/>
    <col min="11" max="11" width="10" style="8" customWidth="1"/>
    <col min="12" max="12" width="9.5703125" style="8" customWidth="1"/>
    <col min="13" max="13" width="10.42578125" style="8" customWidth="1"/>
    <col min="14" max="14" width="8.5703125" style="8" customWidth="1"/>
    <col min="15" max="15" width="9.42578125" style="8" customWidth="1"/>
    <col min="16" max="16" width="10.5703125" style="8" customWidth="1"/>
    <col min="17" max="17" width="7.85546875" style="8" customWidth="1"/>
    <col min="18" max="18" width="9.85546875" style="8" customWidth="1"/>
    <col min="19" max="19" width="3.140625" style="8" customWidth="1"/>
    <col min="20" max="20" width="19.7109375" style="8" customWidth="1"/>
    <col min="21" max="21" width="6.28515625" style="8" customWidth="1"/>
    <col min="22" max="23" width="6" style="8" customWidth="1"/>
    <col min="24" max="16384" width="9.140625" style="8"/>
  </cols>
  <sheetData>
    <row r="1" spans="1:23" ht="15.75" customHeight="1" x14ac:dyDescent="0.2">
      <c r="C1" s="9" t="s">
        <v>29</v>
      </c>
      <c r="D1" s="9" t="s">
        <v>32</v>
      </c>
      <c r="E1" s="9" t="s">
        <v>49</v>
      </c>
      <c r="F1" s="9" t="s">
        <v>33</v>
      </c>
      <c r="G1" s="9" t="s">
        <v>36</v>
      </c>
      <c r="H1" s="9" t="s">
        <v>45</v>
      </c>
      <c r="I1" s="9" t="s">
        <v>39</v>
      </c>
      <c r="J1" s="9" t="s">
        <v>42</v>
      </c>
      <c r="K1" s="9" t="s">
        <v>43</v>
      </c>
      <c r="L1" s="9" t="s">
        <v>46</v>
      </c>
      <c r="M1" s="9" t="s">
        <v>44</v>
      </c>
      <c r="N1" s="9" t="s">
        <v>57</v>
      </c>
      <c r="O1" s="9" t="s">
        <v>56</v>
      </c>
      <c r="P1" s="9" t="s">
        <v>58</v>
      </c>
      <c r="Q1" s="9" t="s">
        <v>71</v>
      </c>
      <c r="R1" s="9" t="s">
        <v>47</v>
      </c>
      <c r="T1" s="8" t="s">
        <v>30</v>
      </c>
      <c r="U1" s="8">
        <v>10.5</v>
      </c>
    </row>
    <row r="2" spans="1:23" ht="15.75" customHeight="1" x14ac:dyDescent="0.2">
      <c r="A2" s="31" t="s">
        <v>52</v>
      </c>
      <c r="B2" s="8">
        <v>1</v>
      </c>
      <c r="C2" s="8" t="s">
        <v>7</v>
      </c>
      <c r="D2" s="17">
        <v>100</v>
      </c>
      <c r="E2" s="18" t="s">
        <v>24</v>
      </c>
      <c r="F2" s="9">
        <v>50</v>
      </c>
      <c r="G2" s="8">
        <f>ROUND(F2*D2/10000,2)</f>
        <v>0.5</v>
      </c>
      <c r="H2" s="8">
        <f t="shared" ref="H2:H36" si="0">ROUND(G2*(($U$14+$U$17+$U$18)/$U$15),0)</f>
        <v>66</v>
      </c>
      <c r="I2" s="8">
        <f>ROUND(G2*$U$1,1)</f>
        <v>5.3</v>
      </c>
      <c r="J2" s="8">
        <v>2</v>
      </c>
      <c r="K2" s="8">
        <v>2</v>
      </c>
      <c r="L2" s="8">
        <f>ROUND((F2*K2+D2*J2)/100,1)</f>
        <v>3</v>
      </c>
      <c r="M2" s="8">
        <f>L2*$U$10</f>
        <v>16.5</v>
      </c>
      <c r="N2" s="8">
        <v>0</v>
      </c>
      <c r="O2" s="8">
        <v>8</v>
      </c>
      <c r="P2" s="8">
        <f>(Table4[[#This Row],[پیچ بلند]]*$U$11+Table4[[#This Row],[پیچ کوتاه]]*$U$12+(Table4[[#This Row],[پیچ کوتاه]]+Table4[[#This Row],[پیچ بلند]])*$U$13)/1000</f>
        <v>2</v>
      </c>
      <c r="Q2" s="8">
        <v>0</v>
      </c>
      <c r="R2" s="8">
        <f>Table4[[#This Row],[قیمت قطعه]]+Table4[[#This Row],[قیمت نوار]]+Table4[[#This Row],[لوازم]]+Table4[[#This Row],[قیمت پیچ]]</f>
        <v>84.5</v>
      </c>
      <c r="T2" s="8" t="s">
        <v>31</v>
      </c>
      <c r="U2" s="8">
        <v>15.3</v>
      </c>
    </row>
    <row r="3" spans="1:23" ht="15.75" customHeight="1" x14ac:dyDescent="0.2">
      <c r="A3" s="31"/>
      <c r="B3" s="8">
        <v>2</v>
      </c>
      <c r="C3" s="8" t="s">
        <v>40</v>
      </c>
      <c r="D3" s="17">
        <v>75</v>
      </c>
      <c r="E3" s="18" t="s">
        <v>24</v>
      </c>
      <c r="F3" s="9">
        <v>40</v>
      </c>
      <c r="G3" s="8">
        <f t="shared" ref="G3:G11" si="1">ROUND(F3*D3/10000,2)</f>
        <v>0.3</v>
      </c>
      <c r="H3" s="8">
        <f t="shared" si="0"/>
        <v>39</v>
      </c>
      <c r="I3" s="8">
        <f t="shared" ref="I3:I11" si="2">ROUND(G3*$U$1,1)</f>
        <v>3.2</v>
      </c>
      <c r="J3" s="8">
        <v>2</v>
      </c>
      <c r="K3" s="8">
        <v>1</v>
      </c>
      <c r="L3" s="8">
        <f t="shared" ref="L3:L11" si="3">ROUND((F3*K3+D3*J3)/100,1)</f>
        <v>1.9</v>
      </c>
      <c r="M3" s="8">
        <f t="shared" ref="M3:M11" si="4">L3*$U$10</f>
        <v>10.45</v>
      </c>
      <c r="N3" s="8">
        <v>0</v>
      </c>
      <c r="O3" s="8">
        <v>0</v>
      </c>
      <c r="P3" s="8">
        <f>(Table4[[#This Row],[پیچ بلند]]*$U$11+Table4[[#This Row],[پیچ کوتاه]]*$U$12+(Table4[[#This Row],[پیچ کوتاه]]+Table4[[#This Row],[پیچ بلند]])*$U$13)/1000</f>
        <v>0</v>
      </c>
      <c r="Q3" s="8">
        <v>5</v>
      </c>
      <c r="R3" s="8">
        <f>Table4[[#This Row],[قیمت قطعه]]+Table4[[#This Row],[قیمت نوار]]+Table4[[#This Row],[لوازم]]+Table4[[#This Row],[قیمت پیچ]]</f>
        <v>54.45</v>
      </c>
      <c r="T3" s="8" t="s">
        <v>34</v>
      </c>
      <c r="U3" s="8">
        <v>366</v>
      </c>
      <c r="V3" s="8">
        <v>183</v>
      </c>
      <c r="W3" s="8">
        <f>ROUND((V3*U3)/10000,2)</f>
        <v>6.7</v>
      </c>
    </row>
    <row r="4" spans="1:23" ht="15.75" customHeight="1" x14ac:dyDescent="0.2">
      <c r="A4" s="31"/>
      <c r="B4" s="8">
        <v>3</v>
      </c>
      <c r="C4" s="8" t="s">
        <v>41</v>
      </c>
      <c r="D4" s="17">
        <v>75</v>
      </c>
      <c r="E4" s="18" t="s">
        <v>24</v>
      </c>
      <c r="F4" s="9">
        <v>40</v>
      </c>
      <c r="G4" s="8">
        <f t="shared" si="1"/>
        <v>0.3</v>
      </c>
      <c r="H4" s="8">
        <f t="shared" si="0"/>
        <v>39</v>
      </c>
      <c r="I4" s="8">
        <f t="shared" si="2"/>
        <v>3.2</v>
      </c>
      <c r="J4" s="8">
        <v>2</v>
      </c>
      <c r="K4" s="8">
        <v>1</v>
      </c>
      <c r="L4" s="8">
        <f t="shared" si="3"/>
        <v>1.9</v>
      </c>
      <c r="M4" s="8">
        <f t="shared" si="4"/>
        <v>10.45</v>
      </c>
      <c r="N4" s="8">
        <v>0</v>
      </c>
      <c r="O4" s="8">
        <v>0</v>
      </c>
      <c r="P4" s="8">
        <f>(Table4[[#This Row],[پیچ بلند]]*$U$11+Table4[[#This Row],[پیچ کوتاه]]*$U$12+(Table4[[#This Row],[پیچ کوتاه]]+Table4[[#This Row],[پیچ بلند]])*$U$13)/1000</f>
        <v>0</v>
      </c>
      <c r="Q4" s="8">
        <v>5</v>
      </c>
      <c r="R4" s="8">
        <f>Table4[[#This Row],[قیمت قطعه]]+Table4[[#This Row],[قیمت نوار]]+Table4[[#This Row],[لوازم]]+Table4[[#This Row],[قیمت پیچ]]</f>
        <v>54.45</v>
      </c>
      <c r="T4" s="8" t="s">
        <v>66</v>
      </c>
      <c r="U4" s="8">
        <v>366</v>
      </c>
      <c r="V4" s="8">
        <v>210</v>
      </c>
      <c r="W4" s="8">
        <f>ROUND((V4*U4)/10000,2)</f>
        <v>7.69</v>
      </c>
    </row>
    <row r="5" spans="1:23" ht="15.75" customHeight="1" x14ac:dyDescent="0.2">
      <c r="A5" s="31"/>
      <c r="B5" s="8">
        <v>4</v>
      </c>
      <c r="C5" s="8" t="s">
        <v>8</v>
      </c>
      <c r="D5" s="17">
        <v>87</v>
      </c>
      <c r="E5" s="18" t="s">
        <v>24</v>
      </c>
      <c r="F5" s="9">
        <v>30</v>
      </c>
      <c r="G5" s="8">
        <f t="shared" si="1"/>
        <v>0.26</v>
      </c>
      <c r="H5" s="8">
        <f t="shared" si="0"/>
        <v>34</v>
      </c>
      <c r="I5" s="8">
        <f t="shared" si="2"/>
        <v>2.7</v>
      </c>
      <c r="J5" s="8">
        <v>2</v>
      </c>
      <c r="K5" s="8">
        <v>0</v>
      </c>
      <c r="L5" s="8">
        <f t="shared" si="3"/>
        <v>1.7</v>
      </c>
      <c r="M5" s="8">
        <f t="shared" si="4"/>
        <v>9.35</v>
      </c>
      <c r="N5" s="8">
        <v>6</v>
      </c>
      <c r="O5" s="8">
        <v>0</v>
      </c>
      <c r="P5" s="8">
        <f>(Table4[[#This Row],[پیچ بلند]]*$U$11+Table4[[#This Row],[پیچ کوتاه]]*$U$12+(Table4[[#This Row],[پیچ کوتاه]]+Table4[[#This Row],[پیچ بلند]])*$U$13)/1000</f>
        <v>1.5</v>
      </c>
      <c r="Q5" s="8">
        <v>0</v>
      </c>
      <c r="R5" s="8">
        <f>Table4[[#This Row],[قیمت قطعه]]+Table4[[#This Row],[قیمت نوار]]+Table4[[#This Row],[لوازم]]+Table4[[#This Row],[قیمت پیچ]]</f>
        <v>44.85</v>
      </c>
      <c r="T5" s="8" t="s">
        <v>67</v>
      </c>
      <c r="U5" s="8">
        <v>280</v>
      </c>
      <c r="V5" s="8">
        <v>122</v>
      </c>
      <c r="W5" s="8">
        <f>ROUND((V5*U5)/10000,2)</f>
        <v>3.42</v>
      </c>
    </row>
    <row r="6" spans="1:23" ht="15.75" customHeight="1" x14ac:dyDescent="0.2">
      <c r="A6" s="31"/>
      <c r="B6" s="8">
        <v>5</v>
      </c>
      <c r="C6" s="8" t="s">
        <v>50</v>
      </c>
      <c r="D6" s="17">
        <v>87</v>
      </c>
      <c r="E6" s="18" t="s">
        <v>24</v>
      </c>
      <c r="F6" s="9">
        <v>30</v>
      </c>
      <c r="G6" s="8">
        <f t="shared" si="1"/>
        <v>0.26</v>
      </c>
      <c r="H6" s="8">
        <f t="shared" si="0"/>
        <v>34</v>
      </c>
      <c r="I6" s="8">
        <f t="shared" si="2"/>
        <v>2.7</v>
      </c>
      <c r="J6" s="8">
        <v>2</v>
      </c>
      <c r="K6" s="8">
        <v>0</v>
      </c>
      <c r="L6" s="8">
        <f t="shared" si="3"/>
        <v>1.7</v>
      </c>
      <c r="M6" s="8">
        <f t="shared" si="4"/>
        <v>9.35</v>
      </c>
      <c r="N6" s="8">
        <v>4</v>
      </c>
      <c r="O6" s="8">
        <v>0</v>
      </c>
      <c r="P6" s="8">
        <f>(Table4[[#This Row],[پیچ بلند]]*$U$11+Table4[[#This Row],[پیچ کوتاه]]*$U$12+(Table4[[#This Row],[پیچ کوتاه]]+Table4[[#This Row],[پیچ بلند]])*$U$13)/1000</f>
        <v>1</v>
      </c>
      <c r="Q6" s="8">
        <v>0</v>
      </c>
      <c r="R6" s="8">
        <f>Table4[[#This Row],[قیمت قطعه]]+Table4[[#This Row],[قیمت نوار]]+Table4[[#This Row],[لوازم]]+Table4[[#This Row],[قیمت پیچ]]</f>
        <v>44.35</v>
      </c>
      <c r="T6" s="8" t="s">
        <v>35</v>
      </c>
      <c r="U6" s="8">
        <v>260</v>
      </c>
      <c r="V6" s="8">
        <v>204</v>
      </c>
      <c r="W6" s="8">
        <f>ROUND((V6*U6)/10000,2)</f>
        <v>5.3</v>
      </c>
    </row>
    <row r="7" spans="1:23" ht="15.75" customHeight="1" x14ac:dyDescent="0.2">
      <c r="A7" s="31"/>
      <c r="B7" s="8">
        <v>6</v>
      </c>
      <c r="C7" s="8" t="s">
        <v>51</v>
      </c>
      <c r="D7" s="17">
        <v>87</v>
      </c>
      <c r="E7" s="18" t="s">
        <v>24</v>
      </c>
      <c r="F7" s="9">
        <v>10</v>
      </c>
      <c r="G7" s="8">
        <f t="shared" si="1"/>
        <v>0.09</v>
      </c>
      <c r="H7" s="8">
        <f t="shared" si="0"/>
        <v>12</v>
      </c>
      <c r="I7" s="8">
        <f t="shared" si="2"/>
        <v>0.9</v>
      </c>
      <c r="J7" s="8">
        <v>1</v>
      </c>
      <c r="K7" s="8">
        <v>0</v>
      </c>
      <c r="L7" s="8">
        <f t="shared" si="3"/>
        <v>0.9</v>
      </c>
      <c r="M7" s="8">
        <f t="shared" si="4"/>
        <v>4.95</v>
      </c>
      <c r="N7" s="8">
        <v>5</v>
      </c>
      <c r="O7" s="8">
        <v>0</v>
      </c>
      <c r="P7" s="8">
        <f>(Table4[[#This Row],[پیچ بلند]]*$U$11+Table4[[#This Row],[پیچ کوتاه]]*$U$12+(Table4[[#This Row],[پیچ کوتاه]]+Table4[[#This Row],[پیچ بلند]])*$U$13)/1000</f>
        <v>1.25</v>
      </c>
      <c r="Q7" s="8">
        <v>0</v>
      </c>
      <c r="R7" s="8">
        <f>Table4[[#This Row],[قیمت قطعه]]+Table4[[#This Row],[قیمت نوار]]+Table4[[#This Row],[لوازم]]+Table4[[#This Row],[قیمت پیچ]]</f>
        <v>18.2</v>
      </c>
      <c r="T7" s="8" t="s">
        <v>55</v>
      </c>
      <c r="U7" s="8">
        <v>280</v>
      </c>
      <c r="V7" s="8">
        <v>210</v>
      </c>
      <c r="W7" s="8">
        <f>ROUND((V7*U7)/10000,2)</f>
        <v>5.88</v>
      </c>
    </row>
    <row r="8" spans="1:23" ht="15.75" customHeight="1" x14ac:dyDescent="0.2">
      <c r="A8" s="31"/>
      <c r="B8" s="8">
        <v>7</v>
      </c>
      <c r="C8" s="8" t="s">
        <v>51</v>
      </c>
      <c r="D8" s="17">
        <v>87</v>
      </c>
      <c r="E8" s="18" t="s">
        <v>24</v>
      </c>
      <c r="F8" s="9">
        <v>10</v>
      </c>
      <c r="G8" s="8">
        <f t="shared" si="1"/>
        <v>0.09</v>
      </c>
      <c r="H8" s="8">
        <f t="shared" si="0"/>
        <v>12</v>
      </c>
      <c r="I8" s="8">
        <f t="shared" si="2"/>
        <v>0.9</v>
      </c>
      <c r="J8" s="8">
        <v>1</v>
      </c>
      <c r="K8" s="8">
        <v>0</v>
      </c>
      <c r="L8" s="8">
        <f t="shared" si="3"/>
        <v>0.9</v>
      </c>
      <c r="M8" s="8">
        <f t="shared" si="4"/>
        <v>4.95</v>
      </c>
      <c r="N8" s="8">
        <v>4</v>
      </c>
      <c r="O8" s="8">
        <v>0</v>
      </c>
      <c r="P8" s="8">
        <f>(Table4[[#This Row],[پیچ بلند]]*$U$11+Table4[[#This Row],[پیچ کوتاه]]*$U$12+(Table4[[#This Row],[پیچ کوتاه]]+Table4[[#This Row],[پیچ بلند]])*$U$13)/1000</f>
        <v>1</v>
      </c>
      <c r="Q8" s="8">
        <v>0</v>
      </c>
      <c r="R8" s="8">
        <f>Table4[[#This Row],[قیمت قطعه]]+Table4[[#This Row],[قیمت نوار]]+Table4[[#This Row],[لوازم]]+Table4[[#This Row],[قیمت پیچ]]</f>
        <v>17.95</v>
      </c>
      <c r="T8" s="8" t="s">
        <v>37</v>
      </c>
      <c r="U8" s="19">
        <v>805</v>
      </c>
    </row>
    <row r="9" spans="1:23" ht="15.75" customHeight="1" x14ac:dyDescent="0.2">
      <c r="A9" s="31"/>
      <c r="B9" s="8">
        <v>8</v>
      </c>
      <c r="C9" s="8" t="s">
        <v>51</v>
      </c>
      <c r="D9" s="17">
        <v>87</v>
      </c>
      <c r="E9" s="18" t="s">
        <v>24</v>
      </c>
      <c r="F9" s="9">
        <v>10</v>
      </c>
      <c r="G9" s="8">
        <f t="shared" si="1"/>
        <v>0.09</v>
      </c>
      <c r="H9" s="8">
        <f t="shared" si="0"/>
        <v>12</v>
      </c>
      <c r="I9" s="8">
        <f t="shared" si="2"/>
        <v>0.9</v>
      </c>
      <c r="J9" s="8">
        <v>1</v>
      </c>
      <c r="K9" s="8">
        <v>0</v>
      </c>
      <c r="L9" s="8">
        <f t="shared" si="3"/>
        <v>0.9</v>
      </c>
      <c r="M9" s="8">
        <f t="shared" si="4"/>
        <v>4.95</v>
      </c>
      <c r="N9" s="8">
        <v>4</v>
      </c>
      <c r="O9" s="8">
        <v>0</v>
      </c>
      <c r="P9" s="8">
        <f>(Table4[[#This Row],[پیچ بلند]]*$U$11+Table4[[#This Row],[پیچ کوتاه]]*$U$12+(Table4[[#This Row],[پیچ کوتاه]]+Table4[[#This Row],[پیچ بلند]])*$U$13)/1000</f>
        <v>1</v>
      </c>
      <c r="Q9" s="8">
        <v>0</v>
      </c>
      <c r="R9" s="8">
        <f>Table4[[#This Row],[قیمت قطعه]]+Table4[[#This Row],[قیمت نوار]]+Table4[[#This Row],[لوازم]]+Table4[[#This Row],[قیمت پیچ]]</f>
        <v>17.95</v>
      </c>
      <c r="T9" s="8" t="s">
        <v>38</v>
      </c>
      <c r="U9" s="19">
        <v>1120</v>
      </c>
    </row>
    <row r="10" spans="1:23" ht="15.75" customHeight="1" x14ac:dyDescent="0.2">
      <c r="A10" s="31"/>
      <c r="B10" s="8">
        <v>9</v>
      </c>
      <c r="C10" s="8" t="s">
        <v>51</v>
      </c>
      <c r="D10" s="17">
        <v>87</v>
      </c>
      <c r="E10" s="18" t="s">
        <v>24</v>
      </c>
      <c r="F10" s="9">
        <v>10</v>
      </c>
      <c r="G10" s="8">
        <f t="shared" si="1"/>
        <v>0.09</v>
      </c>
      <c r="H10" s="8">
        <f t="shared" si="0"/>
        <v>12</v>
      </c>
      <c r="I10" s="8">
        <f t="shared" si="2"/>
        <v>0.9</v>
      </c>
      <c r="J10" s="8">
        <v>1</v>
      </c>
      <c r="K10" s="8">
        <v>0</v>
      </c>
      <c r="L10" s="8">
        <f t="shared" si="3"/>
        <v>0.9</v>
      </c>
      <c r="M10" s="8">
        <f t="shared" si="4"/>
        <v>4.95</v>
      </c>
      <c r="N10" s="8">
        <v>4</v>
      </c>
      <c r="O10" s="8">
        <v>0</v>
      </c>
      <c r="P10" s="8">
        <f>(Table4[[#This Row],[پیچ بلند]]*$U$11+Table4[[#This Row],[پیچ کوتاه]]*$U$12+(Table4[[#This Row],[پیچ کوتاه]]+Table4[[#This Row],[پیچ بلند]])*$U$13)/1000</f>
        <v>1</v>
      </c>
      <c r="Q10" s="8">
        <v>0</v>
      </c>
      <c r="R10" s="8">
        <f>Table4[[#This Row],[قیمت قطعه]]+Table4[[#This Row],[قیمت نوار]]+Table4[[#This Row],[لوازم]]+Table4[[#This Row],[قیمت پیچ]]</f>
        <v>17.95</v>
      </c>
      <c r="T10" s="20" t="s">
        <v>48</v>
      </c>
      <c r="U10" s="25">
        <v>5.5</v>
      </c>
    </row>
    <row r="11" spans="1:23" ht="15.75" customHeight="1" x14ac:dyDescent="0.2">
      <c r="A11" s="31" t="s">
        <v>53</v>
      </c>
      <c r="B11" s="8">
        <v>10</v>
      </c>
      <c r="C11" s="8" t="s">
        <v>7</v>
      </c>
      <c r="D11" s="17">
        <v>80</v>
      </c>
      <c r="E11" s="18" t="s">
        <v>24</v>
      </c>
      <c r="F11" s="9">
        <v>50</v>
      </c>
      <c r="G11" s="8">
        <f t="shared" si="1"/>
        <v>0.4</v>
      </c>
      <c r="H11" s="8">
        <f t="shared" si="0"/>
        <v>53</v>
      </c>
      <c r="I11" s="8">
        <f t="shared" si="2"/>
        <v>4.2</v>
      </c>
      <c r="J11" s="8">
        <v>2</v>
      </c>
      <c r="K11" s="8">
        <v>2</v>
      </c>
      <c r="L11" s="8">
        <f t="shared" si="3"/>
        <v>2.6</v>
      </c>
      <c r="M11" s="8">
        <f t="shared" si="4"/>
        <v>14.3</v>
      </c>
      <c r="N11" s="8">
        <v>0</v>
      </c>
      <c r="O11" s="8">
        <v>8</v>
      </c>
      <c r="P11" s="8">
        <f>(Table4[[#This Row],[پیچ بلند]]*$U$11+Table4[[#This Row],[پیچ کوتاه]]*$U$12+(Table4[[#This Row],[پیچ کوتاه]]+Table4[[#This Row],[پیچ بلند]])*$U$13)/1000</f>
        <v>2</v>
      </c>
      <c r="Q11" s="8">
        <v>0</v>
      </c>
      <c r="R11" s="8">
        <f>Table4[[#This Row],[قیمت قطعه]]+Table4[[#This Row],[قیمت نوار]]+Table4[[#This Row],[لوازم]]+Table4[[#This Row],[قیمت پیچ]]</f>
        <v>69.3</v>
      </c>
      <c r="T11" s="21" t="s">
        <v>68</v>
      </c>
      <c r="U11" s="26">
        <v>200</v>
      </c>
    </row>
    <row r="12" spans="1:23" ht="15.75" customHeight="1" x14ac:dyDescent="0.2">
      <c r="A12" s="31"/>
      <c r="B12" s="8">
        <v>11</v>
      </c>
      <c r="C12" s="8" t="s">
        <v>40</v>
      </c>
      <c r="D12" s="17">
        <v>105</v>
      </c>
      <c r="E12" s="18" t="s">
        <v>24</v>
      </c>
      <c r="F12" s="9">
        <v>40</v>
      </c>
      <c r="G12" s="8">
        <f t="shared" ref="G12:G19" si="5">ROUND(F12*D12/10000,2)</f>
        <v>0.42</v>
      </c>
      <c r="H12" s="8">
        <f t="shared" si="0"/>
        <v>55</v>
      </c>
      <c r="I12" s="8">
        <f t="shared" ref="I12:I19" si="6">ROUND(G12*$U$1,1)</f>
        <v>4.4000000000000004</v>
      </c>
      <c r="J12" s="8">
        <v>2</v>
      </c>
      <c r="K12" s="8">
        <v>1</v>
      </c>
      <c r="L12" s="8">
        <f t="shared" ref="L12:L19" si="7">ROUND((F12*K12+D12*J12)/100,1)</f>
        <v>2.5</v>
      </c>
      <c r="M12" s="8">
        <f t="shared" ref="M12:M19" si="8">L12*$U$10</f>
        <v>13.75</v>
      </c>
      <c r="N12" s="8">
        <v>0</v>
      </c>
      <c r="O12" s="8">
        <v>0</v>
      </c>
      <c r="P12" s="8">
        <f>(Table4[[#This Row],[پیچ بلند]]*$U$11+Table4[[#This Row],[پیچ کوتاه]]*$U$12+(Table4[[#This Row],[پیچ کوتاه]]+Table4[[#This Row],[پیچ بلند]])*$U$13)/1000</f>
        <v>0</v>
      </c>
      <c r="Q12" s="8">
        <v>5</v>
      </c>
      <c r="R12" s="8">
        <f>Table4[[#This Row],[قیمت قطعه]]+Table4[[#This Row],[قیمت نوار]]+Table4[[#This Row],[لوازم]]+Table4[[#This Row],[قیمت پیچ]]</f>
        <v>73.75</v>
      </c>
      <c r="T12" s="21" t="s">
        <v>69</v>
      </c>
      <c r="U12" s="26">
        <v>200</v>
      </c>
    </row>
    <row r="13" spans="1:23" ht="15.75" customHeight="1" x14ac:dyDescent="0.2">
      <c r="A13" s="31"/>
      <c r="B13" s="8">
        <v>12</v>
      </c>
      <c r="C13" s="8" t="s">
        <v>41</v>
      </c>
      <c r="D13" s="17">
        <v>105</v>
      </c>
      <c r="E13" s="18" t="s">
        <v>24</v>
      </c>
      <c r="F13" s="9">
        <v>40</v>
      </c>
      <c r="G13" s="8">
        <f t="shared" si="5"/>
        <v>0.42</v>
      </c>
      <c r="H13" s="8">
        <f t="shared" si="0"/>
        <v>55</v>
      </c>
      <c r="I13" s="8">
        <f t="shared" si="6"/>
        <v>4.4000000000000004</v>
      </c>
      <c r="J13" s="8">
        <v>2</v>
      </c>
      <c r="K13" s="8">
        <v>1</v>
      </c>
      <c r="L13" s="8">
        <f t="shared" si="7"/>
        <v>2.5</v>
      </c>
      <c r="M13" s="8">
        <f t="shared" si="8"/>
        <v>13.75</v>
      </c>
      <c r="N13" s="8">
        <v>0</v>
      </c>
      <c r="O13" s="8">
        <v>0</v>
      </c>
      <c r="P13" s="8">
        <f>(Table4[[#This Row],[پیچ بلند]]*$U$11+Table4[[#This Row],[پیچ کوتاه]]*$U$12+(Table4[[#This Row],[پیچ کوتاه]]+Table4[[#This Row],[پیچ بلند]])*$U$13)/1000</f>
        <v>0</v>
      </c>
      <c r="Q13" s="8">
        <v>5</v>
      </c>
      <c r="R13" s="8">
        <f>Table4[[#This Row],[قیمت قطعه]]+Table4[[#This Row],[قیمت نوار]]+Table4[[#This Row],[لوازم]]+Table4[[#This Row],[قیمت پیچ]]</f>
        <v>73.75</v>
      </c>
      <c r="T13" s="21" t="s">
        <v>70</v>
      </c>
      <c r="U13" s="26">
        <v>50</v>
      </c>
    </row>
    <row r="14" spans="1:23" ht="15.75" customHeight="1" x14ac:dyDescent="0.2">
      <c r="A14" s="31"/>
      <c r="B14" s="8">
        <v>13</v>
      </c>
      <c r="C14" s="8" t="s">
        <v>8</v>
      </c>
      <c r="D14" s="17">
        <v>67</v>
      </c>
      <c r="E14" s="18" t="s">
        <v>24</v>
      </c>
      <c r="F14" s="9">
        <v>30</v>
      </c>
      <c r="G14" s="8">
        <f t="shared" si="5"/>
        <v>0.2</v>
      </c>
      <c r="H14" s="8">
        <f t="shared" si="0"/>
        <v>26</v>
      </c>
      <c r="I14" s="8">
        <f t="shared" si="6"/>
        <v>2.1</v>
      </c>
      <c r="J14" s="8">
        <v>2</v>
      </c>
      <c r="K14" s="8">
        <v>0</v>
      </c>
      <c r="L14" s="8">
        <f t="shared" si="7"/>
        <v>1.3</v>
      </c>
      <c r="M14" s="8">
        <f t="shared" si="8"/>
        <v>7.15</v>
      </c>
      <c r="N14" s="8">
        <v>6</v>
      </c>
      <c r="O14" s="8">
        <v>0</v>
      </c>
      <c r="P14" s="8">
        <f>(Table4[[#This Row],[پیچ بلند]]*$U$11+Table4[[#This Row],[پیچ کوتاه]]*$U$12+(Table4[[#This Row],[پیچ کوتاه]]+Table4[[#This Row],[پیچ بلند]])*$U$13)/1000</f>
        <v>1.5</v>
      </c>
      <c r="Q14" s="8">
        <v>0</v>
      </c>
      <c r="R14" s="8">
        <f>Table4[[#This Row],[قیمت قطعه]]+Table4[[#This Row],[قیمت نوار]]+Table4[[#This Row],[لوازم]]+Table4[[#This Row],[قیمت پیچ]]</f>
        <v>34.65</v>
      </c>
      <c r="T14" s="21" t="s">
        <v>59</v>
      </c>
      <c r="U14" s="24">
        <f>U8</f>
        <v>805</v>
      </c>
    </row>
    <row r="15" spans="1:23" ht="15.75" customHeight="1" x14ac:dyDescent="0.2">
      <c r="A15" s="31"/>
      <c r="B15" s="8">
        <v>14</v>
      </c>
      <c r="C15" s="8" t="s">
        <v>50</v>
      </c>
      <c r="D15" s="17">
        <v>67</v>
      </c>
      <c r="E15" s="18" t="s">
        <v>24</v>
      </c>
      <c r="F15" s="9">
        <v>30</v>
      </c>
      <c r="G15" s="8">
        <f t="shared" si="5"/>
        <v>0.2</v>
      </c>
      <c r="H15" s="8">
        <f t="shared" si="0"/>
        <v>26</v>
      </c>
      <c r="I15" s="8">
        <f t="shared" si="6"/>
        <v>2.1</v>
      </c>
      <c r="J15" s="8">
        <v>2</v>
      </c>
      <c r="K15" s="8">
        <v>0</v>
      </c>
      <c r="L15" s="8">
        <f t="shared" si="7"/>
        <v>1.3</v>
      </c>
      <c r="M15" s="8">
        <f t="shared" si="8"/>
        <v>7.15</v>
      </c>
      <c r="N15" s="8">
        <v>4</v>
      </c>
      <c r="O15" s="8">
        <v>0</v>
      </c>
      <c r="P15" s="8">
        <f>(Table4[[#This Row],[پیچ بلند]]*$U$11+Table4[[#This Row],[پیچ کوتاه]]*$U$12+(Table4[[#This Row],[پیچ کوتاه]]+Table4[[#This Row],[پیچ بلند]])*$U$13)/1000</f>
        <v>1</v>
      </c>
      <c r="Q15" s="8">
        <v>0</v>
      </c>
      <c r="R15" s="8">
        <f>Table4[[#This Row],[قیمت قطعه]]+Table4[[#This Row],[قیمت نوار]]+Table4[[#This Row],[لوازم]]+Table4[[#This Row],[قیمت پیچ]]</f>
        <v>34.15</v>
      </c>
      <c r="T15" s="21" t="s">
        <v>64</v>
      </c>
      <c r="U15" s="22">
        <f>W3</f>
        <v>6.7</v>
      </c>
    </row>
    <row r="16" spans="1:23" ht="15.75" customHeight="1" x14ac:dyDescent="0.2">
      <c r="A16" s="31"/>
      <c r="B16" s="8">
        <v>15</v>
      </c>
      <c r="C16" s="8" t="s">
        <v>51</v>
      </c>
      <c r="D16" s="17">
        <v>67</v>
      </c>
      <c r="E16" s="18" t="s">
        <v>24</v>
      </c>
      <c r="F16" s="9">
        <v>10</v>
      </c>
      <c r="G16" s="8">
        <f t="shared" si="5"/>
        <v>7.0000000000000007E-2</v>
      </c>
      <c r="H16" s="8">
        <f t="shared" si="0"/>
        <v>9</v>
      </c>
      <c r="I16" s="8">
        <f t="shared" si="6"/>
        <v>0.7</v>
      </c>
      <c r="J16" s="8">
        <v>1</v>
      </c>
      <c r="K16" s="8">
        <v>0</v>
      </c>
      <c r="L16" s="8">
        <f t="shared" si="7"/>
        <v>0.7</v>
      </c>
      <c r="M16" s="8">
        <f t="shared" si="8"/>
        <v>3.8499999999999996</v>
      </c>
      <c r="N16" s="8">
        <v>5</v>
      </c>
      <c r="O16" s="8">
        <v>0</v>
      </c>
      <c r="P16" s="8">
        <f>(Table4[[#This Row],[پیچ بلند]]*$U$11+Table4[[#This Row],[پیچ کوتاه]]*$U$12+(Table4[[#This Row],[پیچ کوتاه]]+Table4[[#This Row],[پیچ بلند]])*$U$13)/1000</f>
        <v>1.25</v>
      </c>
      <c r="Q16" s="8">
        <v>0</v>
      </c>
      <c r="R16" s="8">
        <f>Table4[[#This Row],[قیمت قطعه]]+Table4[[#This Row],[قیمت نوار]]+Table4[[#This Row],[لوازم]]+Table4[[#This Row],[قیمت پیچ]]</f>
        <v>14.1</v>
      </c>
      <c r="T16" s="21" t="s">
        <v>63</v>
      </c>
      <c r="U16" s="24">
        <f>U1</f>
        <v>10.5</v>
      </c>
    </row>
    <row r="17" spans="1:21" ht="15.75" customHeight="1" x14ac:dyDescent="0.2">
      <c r="A17" s="31"/>
      <c r="B17" s="8">
        <v>16</v>
      </c>
      <c r="C17" s="8" t="s">
        <v>51</v>
      </c>
      <c r="D17" s="17">
        <v>67</v>
      </c>
      <c r="E17" s="18" t="s">
        <v>24</v>
      </c>
      <c r="F17" s="9">
        <v>10</v>
      </c>
      <c r="G17" s="8">
        <f t="shared" si="5"/>
        <v>7.0000000000000007E-2</v>
      </c>
      <c r="H17" s="8">
        <f t="shared" si="0"/>
        <v>9</v>
      </c>
      <c r="I17" s="8">
        <f t="shared" si="6"/>
        <v>0.7</v>
      </c>
      <c r="J17" s="8">
        <v>1</v>
      </c>
      <c r="K17" s="8">
        <v>0</v>
      </c>
      <c r="L17" s="8">
        <f t="shared" si="7"/>
        <v>0.7</v>
      </c>
      <c r="M17" s="8">
        <f t="shared" si="8"/>
        <v>3.8499999999999996</v>
      </c>
      <c r="N17" s="8">
        <v>4</v>
      </c>
      <c r="O17" s="8">
        <v>0</v>
      </c>
      <c r="P17" s="8">
        <f>(Table4[[#This Row],[پیچ بلند]]*$U$11+Table4[[#This Row],[پیچ کوتاه]]*$U$12+(Table4[[#This Row],[پیچ کوتاه]]+Table4[[#This Row],[پیچ بلند]])*$U$13)/1000</f>
        <v>1</v>
      </c>
      <c r="Q17" s="8">
        <v>0</v>
      </c>
      <c r="R17" s="8">
        <f>Table4[[#This Row],[قیمت قطعه]]+Table4[[#This Row],[قیمت نوار]]+Table4[[#This Row],[لوازم]]+Table4[[#This Row],[قیمت پیچ]]</f>
        <v>13.85</v>
      </c>
      <c r="T17" s="21" t="s">
        <v>61</v>
      </c>
      <c r="U17" s="24">
        <v>55</v>
      </c>
    </row>
    <row r="18" spans="1:21" ht="15.75" customHeight="1" x14ac:dyDescent="0.2">
      <c r="A18" s="31"/>
      <c r="B18" s="8">
        <v>17</v>
      </c>
      <c r="C18" s="8" t="s">
        <v>51</v>
      </c>
      <c r="D18" s="17">
        <v>67</v>
      </c>
      <c r="E18" s="18" t="s">
        <v>24</v>
      </c>
      <c r="F18" s="9">
        <v>10</v>
      </c>
      <c r="G18" s="8">
        <f t="shared" si="5"/>
        <v>7.0000000000000007E-2</v>
      </c>
      <c r="H18" s="8">
        <f t="shared" si="0"/>
        <v>9</v>
      </c>
      <c r="I18" s="8">
        <f t="shared" si="6"/>
        <v>0.7</v>
      </c>
      <c r="J18" s="8">
        <v>1</v>
      </c>
      <c r="K18" s="8">
        <v>0</v>
      </c>
      <c r="L18" s="8">
        <f t="shared" si="7"/>
        <v>0.7</v>
      </c>
      <c r="M18" s="8">
        <f t="shared" si="8"/>
        <v>3.8499999999999996</v>
      </c>
      <c r="N18" s="8">
        <v>4</v>
      </c>
      <c r="O18" s="8">
        <v>0</v>
      </c>
      <c r="P18" s="8">
        <f>(Table4[[#This Row],[پیچ بلند]]*$U$11+Table4[[#This Row],[پیچ کوتاه]]*$U$12+(Table4[[#This Row],[پیچ کوتاه]]+Table4[[#This Row],[پیچ بلند]])*$U$13)/1000</f>
        <v>1</v>
      </c>
      <c r="Q18" s="8">
        <v>0</v>
      </c>
      <c r="R18" s="8">
        <f>Table4[[#This Row],[قیمت قطعه]]+Table4[[#This Row],[قیمت نوار]]+Table4[[#This Row],[لوازم]]+Table4[[#This Row],[قیمت پیچ]]</f>
        <v>13.85</v>
      </c>
      <c r="T18" s="21" t="s">
        <v>62</v>
      </c>
      <c r="U18" s="24">
        <v>20</v>
      </c>
    </row>
    <row r="19" spans="1:21" ht="15.75" customHeight="1" x14ac:dyDescent="0.2">
      <c r="A19" s="31"/>
      <c r="B19" s="8">
        <v>18</v>
      </c>
      <c r="C19" s="8" t="s">
        <v>51</v>
      </c>
      <c r="D19" s="17">
        <v>67</v>
      </c>
      <c r="E19" s="18" t="s">
        <v>24</v>
      </c>
      <c r="F19" s="9">
        <v>10</v>
      </c>
      <c r="G19" s="8">
        <f t="shared" si="5"/>
        <v>7.0000000000000007E-2</v>
      </c>
      <c r="H19" s="8">
        <f t="shared" si="0"/>
        <v>9</v>
      </c>
      <c r="I19" s="8">
        <f t="shared" si="6"/>
        <v>0.7</v>
      </c>
      <c r="J19" s="8">
        <v>1</v>
      </c>
      <c r="K19" s="8">
        <v>0</v>
      </c>
      <c r="L19" s="8">
        <f t="shared" si="7"/>
        <v>0.7</v>
      </c>
      <c r="M19" s="8">
        <f t="shared" si="8"/>
        <v>3.8499999999999996</v>
      </c>
      <c r="N19" s="8">
        <v>4</v>
      </c>
      <c r="O19" s="8">
        <v>0</v>
      </c>
      <c r="P19" s="8">
        <f>(Table4[[#This Row],[پیچ بلند]]*$U$11+Table4[[#This Row],[پیچ کوتاه]]*$U$12+(Table4[[#This Row],[پیچ کوتاه]]+Table4[[#This Row],[پیچ بلند]])*$U$13)/1000</f>
        <v>1</v>
      </c>
      <c r="Q19" s="8">
        <v>0</v>
      </c>
      <c r="R19" s="8">
        <f>Table4[[#This Row],[قیمت قطعه]]+Table4[[#This Row],[قیمت نوار]]+Table4[[#This Row],[لوازم]]+Table4[[#This Row],[قیمت پیچ]]</f>
        <v>13.85</v>
      </c>
      <c r="T19" s="23" t="s">
        <v>72</v>
      </c>
      <c r="U19" s="29">
        <v>0.3</v>
      </c>
    </row>
    <row r="20" spans="1:21" ht="15.75" customHeight="1" x14ac:dyDescent="0.2">
      <c r="A20" s="31" t="s">
        <v>54</v>
      </c>
      <c r="B20" s="8">
        <v>19</v>
      </c>
      <c r="C20" s="8" t="s">
        <v>7</v>
      </c>
      <c r="D20" s="17">
        <v>100</v>
      </c>
      <c r="E20" s="18" t="s">
        <v>24</v>
      </c>
      <c r="F20" s="9">
        <v>50</v>
      </c>
      <c r="G20" s="8">
        <f t="shared" ref="G20:G28" si="9">ROUND(F20*D20/10000,2)</f>
        <v>0.5</v>
      </c>
      <c r="H20" s="8">
        <f t="shared" si="0"/>
        <v>66</v>
      </c>
      <c r="I20" s="8">
        <f t="shared" ref="I20:I28" si="10">ROUND(G20*$U$1,1)</f>
        <v>5.3</v>
      </c>
      <c r="J20" s="8">
        <v>2</v>
      </c>
      <c r="K20" s="8">
        <v>2</v>
      </c>
      <c r="L20" s="8">
        <f t="shared" ref="L20:L28" si="11">ROUND((F20*K20+D20*J20)/100,1)</f>
        <v>3</v>
      </c>
      <c r="M20" s="8">
        <f t="shared" ref="M20:M28" si="12">L20*$U$10</f>
        <v>16.5</v>
      </c>
      <c r="N20" s="8">
        <v>0</v>
      </c>
      <c r="O20" s="8">
        <v>8</v>
      </c>
      <c r="P20" s="8">
        <f>(Table4[[#This Row],[پیچ بلند]]*$U$11+Table4[[#This Row],[پیچ کوتاه]]*$U$12+(Table4[[#This Row],[پیچ کوتاه]]+Table4[[#This Row],[پیچ بلند]])*$U$13)/1000</f>
        <v>2</v>
      </c>
      <c r="Q20" s="8">
        <v>0</v>
      </c>
      <c r="R20" s="8">
        <f>Table4[[#This Row],[قیمت قطعه]]+Table4[[#This Row],[قیمت نوار]]+Table4[[#This Row],[لوازم]]+Table4[[#This Row],[قیمت پیچ]]</f>
        <v>84.5</v>
      </c>
    </row>
    <row r="21" spans="1:21" ht="15.75" customHeight="1" x14ac:dyDescent="0.2">
      <c r="A21" s="31"/>
      <c r="B21" s="8">
        <v>20</v>
      </c>
      <c r="C21" s="8" t="s">
        <v>40</v>
      </c>
      <c r="D21" s="17">
        <v>95</v>
      </c>
      <c r="E21" s="18" t="s">
        <v>24</v>
      </c>
      <c r="F21" s="9">
        <v>40</v>
      </c>
      <c r="G21" s="8">
        <f t="shared" si="9"/>
        <v>0.38</v>
      </c>
      <c r="H21" s="8">
        <f t="shared" si="0"/>
        <v>50</v>
      </c>
      <c r="I21" s="8">
        <f t="shared" si="10"/>
        <v>4</v>
      </c>
      <c r="J21" s="8">
        <v>2</v>
      </c>
      <c r="K21" s="8">
        <v>1</v>
      </c>
      <c r="L21" s="8">
        <f t="shared" si="11"/>
        <v>2.2999999999999998</v>
      </c>
      <c r="M21" s="8">
        <f t="shared" si="12"/>
        <v>12.649999999999999</v>
      </c>
      <c r="N21" s="8">
        <v>0</v>
      </c>
      <c r="O21" s="8">
        <v>0</v>
      </c>
      <c r="P21" s="8">
        <f>(Table4[[#This Row],[پیچ بلند]]*$U$11+Table4[[#This Row],[پیچ کوتاه]]*$U$12+(Table4[[#This Row],[پیچ کوتاه]]+Table4[[#This Row],[پیچ بلند]])*$U$13)/1000</f>
        <v>0</v>
      </c>
      <c r="Q21" s="8">
        <v>5</v>
      </c>
      <c r="R21" s="8">
        <f>Table4[[#This Row],[قیمت قطعه]]+Table4[[#This Row],[قیمت نوار]]+Table4[[#This Row],[لوازم]]+Table4[[#This Row],[قیمت پیچ]]</f>
        <v>67.650000000000006</v>
      </c>
      <c r="T21" s="32" t="s">
        <v>65</v>
      </c>
      <c r="U21" s="34">
        <f>Table4[[#Totals],[قیمت کل]]+U19*Table4[[#Totals],[قیمت کل]]</f>
        <v>1507.9349999999999</v>
      </c>
    </row>
    <row r="22" spans="1:21" ht="15.75" customHeight="1" x14ac:dyDescent="0.2">
      <c r="A22" s="31"/>
      <c r="B22" s="8">
        <v>21</v>
      </c>
      <c r="C22" s="8" t="s">
        <v>41</v>
      </c>
      <c r="D22" s="17">
        <v>95</v>
      </c>
      <c r="E22" s="18" t="s">
        <v>24</v>
      </c>
      <c r="F22" s="9">
        <v>40</v>
      </c>
      <c r="G22" s="8">
        <f t="shared" si="9"/>
        <v>0.38</v>
      </c>
      <c r="H22" s="8">
        <f t="shared" si="0"/>
        <v>50</v>
      </c>
      <c r="I22" s="8">
        <f t="shared" si="10"/>
        <v>4</v>
      </c>
      <c r="J22" s="8">
        <v>2</v>
      </c>
      <c r="K22" s="8">
        <v>1</v>
      </c>
      <c r="L22" s="8">
        <f t="shared" si="11"/>
        <v>2.2999999999999998</v>
      </c>
      <c r="M22" s="8">
        <f t="shared" si="12"/>
        <v>12.649999999999999</v>
      </c>
      <c r="N22" s="8">
        <v>0</v>
      </c>
      <c r="O22" s="8">
        <v>0</v>
      </c>
      <c r="P22" s="8">
        <f>(Table4[[#This Row],[پیچ بلند]]*$U$11+Table4[[#This Row],[پیچ کوتاه]]*$U$12+(Table4[[#This Row],[پیچ کوتاه]]+Table4[[#This Row],[پیچ بلند]])*$U$13)/1000</f>
        <v>0</v>
      </c>
      <c r="Q22" s="8">
        <v>5</v>
      </c>
      <c r="R22" s="8">
        <f>Table4[[#This Row],[قیمت قطعه]]+Table4[[#This Row],[قیمت نوار]]+Table4[[#This Row],[لوازم]]+Table4[[#This Row],[قیمت پیچ]]</f>
        <v>67.650000000000006</v>
      </c>
      <c r="T22" s="33"/>
      <c r="U22" s="35"/>
    </row>
    <row r="23" spans="1:21" ht="15.75" customHeight="1" x14ac:dyDescent="0.2">
      <c r="A23" s="31"/>
      <c r="B23" s="8">
        <v>22</v>
      </c>
      <c r="C23" s="8" t="s">
        <v>8</v>
      </c>
      <c r="D23" s="17">
        <v>87</v>
      </c>
      <c r="E23" s="18" t="s">
        <v>24</v>
      </c>
      <c r="F23" s="9">
        <v>30</v>
      </c>
      <c r="G23" s="8">
        <f t="shared" si="9"/>
        <v>0.26</v>
      </c>
      <c r="H23" s="8">
        <f t="shared" si="0"/>
        <v>34</v>
      </c>
      <c r="I23" s="8">
        <f t="shared" si="10"/>
        <v>2.7</v>
      </c>
      <c r="J23" s="8">
        <v>2</v>
      </c>
      <c r="K23" s="8">
        <v>0</v>
      </c>
      <c r="L23" s="8">
        <f t="shared" si="11"/>
        <v>1.7</v>
      </c>
      <c r="M23" s="8">
        <f t="shared" si="12"/>
        <v>9.35</v>
      </c>
      <c r="N23" s="8">
        <v>6</v>
      </c>
      <c r="O23" s="8">
        <v>0</v>
      </c>
      <c r="P23" s="8">
        <f>(Table4[[#This Row],[پیچ بلند]]*$U$11+Table4[[#This Row],[پیچ کوتاه]]*$U$12+(Table4[[#This Row],[پیچ کوتاه]]+Table4[[#This Row],[پیچ بلند]])*$U$13)/1000</f>
        <v>1.5</v>
      </c>
      <c r="Q23" s="8">
        <v>0</v>
      </c>
      <c r="R23" s="8">
        <f>Table4[[#This Row],[قیمت قطعه]]+Table4[[#This Row],[قیمت نوار]]+Table4[[#This Row],[لوازم]]+Table4[[#This Row],[قیمت پیچ]]</f>
        <v>44.85</v>
      </c>
    </row>
    <row r="24" spans="1:21" ht="15.75" customHeight="1" x14ac:dyDescent="0.2">
      <c r="A24" s="31"/>
      <c r="B24" s="8">
        <v>23</v>
      </c>
      <c r="C24" s="8" t="s">
        <v>50</v>
      </c>
      <c r="D24" s="17">
        <v>87</v>
      </c>
      <c r="E24" s="18" t="s">
        <v>24</v>
      </c>
      <c r="F24" s="9">
        <v>30</v>
      </c>
      <c r="G24" s="8">
        <f t="shared" si="9"/>
        <v>0.26</v>
      </c>
      <c r="H24" s="8">
        <f t="shared" si="0"/>
        <v>34</v>
      </c>
      <c r="I24" s="8">
        <f t="shared" si="10"/>
        <v>2.7</v>
      </c>
      <c r="J24" s="8">
        <v>2</v>
      </c>
      <c r="K24" s="8">
        <v>0</v>
      </c>
      <c r="L24" s="8">
        <f t="shared" si="11"/>
        <v>1.7</v>
      </c>
      <c r="M24" s="8">
        <f t="shared" si="12"/>
        <v>9.35</v>
      </c>
      <c r="N24" s="8">
        <v>4</v>
      </c>
      <c r="O24" s="8">
        <v>0</v>
      </c>
      <c r="P24" s="8">
        <f>(Table4[[#This Row],[پیچ بلند]]*$U$11+Table4[[#This Row],[پیچ کوتاه]]*$U$12+(Table4[[#This Row],[پیچ کوتاه]]+Table4[[#This Row],[پیچ بلند]])*$U$13)/1000</f>
        <v>1</v>
      </c>
      <c r="Q24" s="8">
        <v>0</v>
      </c>
      <c r="R24" s="8">
        <f>Table4[[#This Row],[قیمت قطعه]]+Table4[[#This Row],[قیمت نوار]]+Table4[[#This Row],[لوازم]]+Table4[[#This Row],[قیمت پیچ]]</f>
        <v>44.35</v>
      </c>
    </row>
    <row r="25" spans="1:21" ht="15.75" customHeight="1" x14ac:dyDescent="0.2">
      <c r="A25" s="31"/>
      <c r="B25" s="8">
        <v>24</v>
      </c>
      <c r="C25" s="8" t="s">
        <v>51</v>
      </c>
      <c r="D25" s="17">
        <v>87</v>
      </c>
      <c r="E25" s="18" t="s">
        <v>24</v>
      </c>
      <c r="F25" s="9">
        <v>10</v>
      </c>
      <c r="G25" s="8">
        <f t="shared" si="9"/>
        <v>0.09</v>
      </c>
      <c r="H25" s="8">
        <f t="shared" si="0"/>
        <v>12</v>
      </c>
      <c r="I25" s="8">
        <f t="shared" si="10"/>
        <v>0.9</v>
      </c>
      <c r="J25" s="8">
        <v>1</v>
      </c>
      <c r="K25" s="8">
        <v>0</v>
      </c>
      <c r="L25" s="8">
        <f t="shared" si="11"/>
        <v>0.9</v>
      </c>
      <c r="M25" s="8">
        <f t="shared" si="12"/>
        <v>4.95</v>
      </c>
      <c r="N25" s="8">
        <v>5</v>
      </c>
      <c r="O25" s="8">
        <v>0</v>
      </c>
      <c r="P25" s="8">
        <f>(Table4[[#This Row],[پیچ بلند]]*$U$11+Table4[[#This Row],[پیچ کوتاه]]*$U$12+(Table4[[#This Row],[پیچ کوتاه]]+Table4[[#This Row],[پیچ بلند]])*$U$13)/1000</f>
        <v>1.25</v>
      </c>
      <c r="Q25" s="8">
        <v>0</v>
      </c>
      <c r="R25" s="8">
        <f>Table4[[#This Row],[قیمت قطعه]]+Table4[[#This Row],[قیمت نوار]]+Table4[[#This Row],[لوازم]]+Table4[[#This Row],[قیمت پیچ]]</f>
        <v>18.2</v>
      </c>
    </row>
    <row r="26" spans="1:21" ht="15.75" customHeight="1" x14ac:dyDescent="0.2">
      <c r="A26" s="31"/>
      <c r="B26" s="8">
        <v>25</v>
      </c>
      <c r="C26" s="8" t="s">
        <v>51</v>
      </c>
      <c r="D26" s="17">
        <v>87</v>
      </c>
      <c r="E26" s="18" t="s">
        <v>24</v>
      </c>
      <c r="F26" s="9">
        <v>10</v>
      </c>
      <c r="G26" s="8">
        <f t="shared" si="9"/>
        <v>0.09</v>
      </c>
      <c r="H26" s="8">
        <f t="shared" si="0"/>
        <v>12</v>
      </c>
      <c r="I26" s="8">
        <f t="shared" si="10"/>
        <v>0.9</v>
      </c>
      <c r="J26" s="8">
        <v>1</v>
      </c>
      <c r="K26" s="8">
        <v>0</v>
      </c>
      <c r="L26" s="8">
        <f t="shared" si="11"/>
        <v>0.9</v>
      </c>
      <c r="M26" s="8">
        <f t="shared" si="12"/>
        <v>4.95</v>
      </c>
      <c r="N26" s="8">
        <v>4</v>
      </c>
      <c r="O26" s="8">
        <v>0</v>
      </c>
      <c r="P26" s="8">
        <f>(Table4[[#This Row],[پیچ بلند]]*$U$11+Table4[[#This Row],[پیچ کوتاه]]*$U$12+(Table4[[#This Row],[پیچ کوتاه]]+Table4[[#This Row],[پیچ بلند]])*$U$13)/1000</f>
        <v>1</v>
      </c>
      <c r="Q26" s="8">
        <v>0</v>
      </c>
      <c r="R26" s="8">
        <f>Table4[[#This Row],[قیمت قطعه]]+Table4[[#This Row],[قیمت نوار]]+Table4[[#This Row],[لوازم]]+Table4[[#This Row],[قیمت پیچ]]</f>
        <v>17.95</v>
      </c>
    </row>
    <row r="27" spans="1:21" ht="15.75" customHeight="1" x14ac:dyDescent="0.2">
      <c r="A27" s="31"/>
      <c r="B27" s="8">
        <v>26</v>
      </c>
      <c r="C27" s="8" t="s">
        <v>51</v>
      </c>
      <c r="D27" s="17">
        <v>87</v>
      </c>
      <c r="E27" s="18" t="s">
        <v>24</v>
      </c>
      <c r="F27" s="9">
        <v>10</v>
      </c>
      <c r="G27" s="8">
        <f t="shared" si="9"/>
        <v>0.09</v>
      </c>
      <c r="H27" s="8">
        <f t="shared" si="0"/>
        <v>12</v>
      </c>
      <c r="I27" s="8">
        <f t="shared" si="10"/>
        <v>0.9</v>
      </c>
      <c r="J27" s="8">
        <v>1</v>
      </c>
      <c r="K27" s="8">
        <v>0</v>
      </c>
      <c r="L27" s="8">
        <f t="shared" si="11"/>
        <v>0.9</v>
      </c>
      <c r="M27" s="8">
        <f t="shared" si="12"/>
        <v>4.95</v>
      </c>
      <c r="N27" s="8">
        <v>4</v>
      </c>
      <c r="O27" s="8">
        <v>0</v>
      </c>
      <c r="P27" s="8">
        <f>(Table4[[#This Row],[پیچ بلند]]*$U$11+Table4[[#This Row],[پیچ کوتاه]]*$U$12+(Table4[[#This Row],[پیچ کوتاه]]+Table4[[#This Row],[پیچ بلند]])*$U$13)/1000</f>
        <v>1</v>
      </c>
      <c r="Q27" s="8">
        <v>0</v>
      </c>
      <c r="R27" s="8">
        <f>Table4[[#This Row],[قیمت قطعه]]+Table4[[#This Row],[قیمت نوار]]+Table4[[#This Row],[لوازم]]+Table4[[#This Row],[قیمت پیچ]]</f>
        <v>17.95</v>
      </c>
    </row>
    <row r="28" spans="1:21" ht="15.75" customHeight="1" x14ac:dyDescent="0.2">
      <c r="A28" s="31"/>
      <c r="B28" s="8">
        <v>27</v>
      </c>
      <c r="C28" s="8" t="s">
        <v>51</v>
      </c>
      <c r="D28" s="17">
        <v>87</v>
      </c>
      <c r="E28" s="18" t="s">
        <v>24</v>
      </c>
      <c r="F28" s="9">
        <v>10</v>
      </c>
      <c r="G28" s="8">
        <f t="shared" si="9"/>
        <v>0.09</v>
      </c>
      <c r="H28" s="8">
        <f t="shared" si="0"/>
        <v>12</v>
      </c>
      <c r="I28" s="8">
        <f t="shared" si="10"/>
        <v>0.9</v>
      </c>
      <c r="J28" s="8">
        <v>1</v>
      </c>
      <c r="K28" s="8">
        <v>0</v>
      </c>
      <c r="L28" s="8">
        <f t="shared" si="11"/>
        <v>0.9</v>
      </c>
      <c r="M28" s="8">
        <f t="shared" si="12"/>
        <v>4.95</v>
      </c>
      <c r="N28" s="8">
        <v>4</v>
      </c>
      <c r="O28" s="8">
        <v>0</v>
      </c>
      <c r="P28" s="8">
        <f>(Table4[[#This Row],[پیچ بلند]]*$U$11+Table4[[#This Row],[پیچ کوتاه]]*$U$12+(Table4[[#This Row],[پیچ کوتاه]]+Table4[[#This Row],[پیچ بلند]])*$U$13)/1000</f>
        <v>1</v>
      </c>
      <c r="Q28" s="8">
        <v>0</v>
      </c>
      <c r="R28" s="8">
        <f>Table4[[#This Row],[قیمت قطعه]]+Table4[[#This Row],[قیمت نوار]]+Table4[[#This Row],[لوازم]]+Table4[[#This Row],[قیمت پیچ]]</f>
        <v>17.95</v>
      </c>
    </row>
    <row r="29" spans="1:21" ht="15.75" customHeight="1" x14ac:dyDescent="0.2">
      <c r="A29" s="15"/>
      <c r="C29" s="8" t="s">
        <v>60</v>
      </c>
      <c r="D29" s="17">
        <v>67</v>
      </c>
      <c r="E29" s="18" t="s">
        <v>24</v>
      </c>
      <c r="F29" s="9">
        <v>9.92</v>
      </c>
      <c r="G29" s="8">
        <f t="shared" ref="G29:G32" si="13">ROUND(F29*D29/10000,2)</f>
        <v>7.0000000000000007E-2</v>
      </c>
      <c r="H29" s="27">
        <f t="shared" si="0"/>
        <v>9</v>
      </c>
      <c r="I29" s="8">
        <f t="shared" ref="I29:I32" si="14">ROUND(G29*$U$1,1)</f>
        <v>0.7</v>
      </c>
      <c r="J29" s="8">
        <v>0</v>
      </c>
      <c r="K29" s="8">
        <v>0</v>
      </c>
      <c r="L29" s="8">
        <f t="shared" ref="L29:L32" si="15">ROUND((F29*K29+D29*J29)/100,1)</f>
        <v>0</v>
      </c>
      <c r="M29" s="8">
        <f t="shared" ref="M29:M32" si="16">L29*$U$10</f>
        <v>0</v>
      </c>
      <c r="N29" s="8">
        <v>0</v>
      </c>
      <c r="O29" s="8">
        <v>0</v>
      </c>
      <c r="P29" s="27">
        <f>(Table4[[#This Row],[پیچ بلند]]*$U$11+Table4[[#This Row],[پیچ کوتاه]]*$U$12+(Table4[[#This Row],[پیچ کوتاه]]+Table4[[#This Row],[پیچ بلند]])*$U$13)/1000</f>
        <v>0</v>
      </c>
      <c r="Q29" s="27">
        <v>0</v>
      </c>
      <c r="R29" s="27">
        <f>Table4[[#This Row],[قیمت قطعه]]+Table4[[#This Row],[قیمت نوار]]+Table4[[#This Row],[لوازم]]+Table4[[#This Row],[قیمت پیچ]]</f>
        <v>9</v>
      </c>
    </row>
    <row r="30" spans="1:21" ht="15.75" customHeight="1" x14ac:dyDescent="0.2">
      <c r="A30" s="15"/>
      <c r="C30" s="8" t="s">
        <v>60</v>
      </c>
      <c r="D30" s="17">
        <v>50</v>
      </c>
      <c r="E30" s="18" t="s">
        <v>24</v>
      </c>
      <c r="F30" s="9">
        <v>15.92</v>
      </c>
      <c r="G30" s="8">
        <f t="shared" si="13"/>
        <v>0.08</v>
      </c>
      <c r="H30" s="27">
        <f t="shared" si="0"/>
        <v>11</v>
      </c>
      <c r="I30" s="8">
        <f t="shared" si="14"/>
        <v>0.8</v>
      </c>
      <c r="J30" s="8">
        <v>0</v>
      </c>
      <c r="K30" s="8">
        <v>0</v>
      </c>
      <c r="L30" s="8">
        <f t="shared" si="15"/>
        <v>0</v>
      </c>
      <c r="M30" s="8">
        <f t="shared" si="16"/>
        <v>0</v>
      </c>
      <c r="N30" s="8">
        <v>0</v>
      </c>
      <c r="O30" s="8">
        <v>0</v>
      </c>
      <c r="P30" s="27">
        <f>(Table4[[#This Row],[پیچ بلند]]*$U$11+Table4[[#This Row],[پیچ کوتاه]]*$U$12+(Table4[[#This Row],[پیچ کوتاه]]+Table4[[#This Row],[پیچ بلند]])*$U$13)/1000</f>
        <v>0</v>
      </c>
      <c r="Q30" s="27">
        <v>0</v>
      </c>
      <c r="R30" s="27">
        <f>Table4[[#This Row],[قیمت قطعه]]+Table4[[#This Row],[قیمت نوار]]+Table4[[#This Row],[لوازم]]+Table4[[#This Row],[قیمت پیچ]]</f>
        <v>11</v>
      </c>
    </row>
    <row r="31" spans="1:21" ht="15.75" customHeight="1" x14ac:dyDescent="0.2">
      <c r="A31" s="15"/>
      <c r="C31" s="8" t="s">
        <v>60</v>
      </c>
      <c r="D31" s="17">
        <v>50</v>
      </c>
      <c r="E31" s="18" t="s">
        <v>24</v>
      </c>
      <c r="F31" s="9">
        <v>2.92</v>
      </c>
      <c r="G31" s="8">
        <f t="shared" si="13"/>
        <v>0.01</v>
      </c>
      <c r="H31" s="27">
        <f t="shared" si="0"/>
        <v>1</v>
      </c>
      <c r="I31" s="8">
        <f t="shared" si="14"/>
        <v>0.1</v>
      </c>
      <c r="J31" s="8">
        <v>0</v>
      </c>
      <c r="K31" s="8">
        <v>0</v>
      </c>
      <c r="L31" s="8">
        <f t="shared" si="15"/>
        <v>0</v>
      </c>
      <c r="M31" s="8">
        <f t="shared" si="16"/>
        <v>0</v>
      </c>
      <c r="N31" s="8">
        <v>0</v>
      </c>
      <c r="O31" s="8">
        <v>0</v>
      </c>
      <c r="P31" s="27">
        <f>(Table4[[#This Row],[پیچ بلند]]*$U$11+Table4[[#This Row],[پیچ کوتاه]]*$U$12+(Table4[[#This Row],[پیچ کوتاه]]+Table4[[#This Row],[پیچ بلند]])*$U$13)/1000</f>
        <v>0</v>
      </c>
      <c r="Q31" s="27">
        <v>0</v>
      </c>
      <c r="R31" s="27">
        <f>Table4[[#This Row],[قیمت قطعه]]+Table4[[#This Row],[قیمت نوار]]+Table4[[#This Row],[لوازم]]+Table4[[#This Row],[قیمت پیچ]]</f>
        <v>1</v>
      </c>
    </row>
    <row r="32" spans="1:21" ht="15.75" customHeight="1" x14ac:dyDescent="0.2">
      <c r="A32" s="15"/>
      <c r="C32" s="8" t="s">
        <v>60</v>
      </c>
      <c r="D32" s="17">
        <v>65.680000000000007</v>
      </c>
      <c r="E32" s="18" t="s">
        <v>24</v>
      </c>
      <c r="F32" s="9">
        <v>19.96</v>
      </c>
      <c r="G32" s="8">
        <f t="shared" si="13"/>
        <v>0.13</v>
      </c>
      <c r="H32" s="27">
        <f t="shared" si="0"/>
        <v>17</v>
      </c>
      <c r="I32" s="8">
        <f t="shared" si="14"/>
        <v>1.4</v>
      </c>
      <c r="J32" s="8">
        <v>0</v>
      </c>
      <c r="K32" s="8">
        <v>0</v>
      </c>
      <c r="L32" s="8">
        <f t="shared" si="15"/>
        <v>0</v>
      </c>
      <c r="M32" s="8">
        <f t="shared" si="16"/>
        <v>0</v>
      </c>
      <c r="N32" s="8">
        <v>0</v>
      </c>
      <c r="O32" s="8">
        <v>0</v>
      </c>
      <c r="P32" s="27">
        <f>(Table4[[#This Row],[پیچ بلند]]*$U$11+Table4[[#This Row],[پیچ کوتاه]]*$U$12+(Table4[[#This Row],[پیچ کوتاه]]+Table4[[#This Row],[پیچ بلند]])*$U$13)/1000</f>
        <v>0</v>
      </c>
      <c r="Q32" s="27">
        <v>0</v>
      </c>
      <c r="R32" s="27">
        <f>Table4[[#This Row],[قیمت قطعه]]+Table4[[#This Row],[قیمت نوار]]+Table4[[#This Row],[لوازم]]+Table4[[#This Row],[قیمت پیچ]]</f>
        <v>17</v>
      </c>
    </row>
    <row r="33" spans="1:18" ht="15.75" customHeight="1" x14ac:dyDescent="0.2">
      <c r="A33" s="15"/>
      <c r="C33" s="8" t="s">
        <v>60</v>
      </c>
      <c r="D33" s="17">
        <v>67</v>
      </c>
      <c r="E33" s="18" t="s">
        <v>24</v>
      </c>
      <c r="F33" s="9">
        <v>25.6</v>
      </c>
      <c r="G33" s="8">
        <f t="shared" ref="G33:G34" si="17">ROUND(F33*D33/10000,2)</f>
        <v>0.17</v>
      </c>
      <c r="H33" s="27">
        <f t="shared" si="0"/>
        <v>22</v>
      </c>
      <c r="I33" s="8">
        <f t="shared" ref="I33:I34" si="18">ROUND(G33*$U$1,1)</f>
        <v>1.8</v>
      </c>
      <c r="J33" s="8">
        <v>0</v>
      </c>
      <c r="K33" s="8">
        <v>0</v>
      </c>
      <c r="L33" s="8">
        <f t="shared" ref="L33:L34" si="19">ROUND((F33*K33+D33*J33)/100,1)</f>
        <v>0</v>
      </c>
      <c r="M33" s="8">
        <f t="shared" ref="M33:M34" si="20">L33*$U$10</f>
        <v>0</v>
      </c>
      <c r="N33" s="8">
        <v>0</v>
      </c>
      <c r="O33" s="8">
        <v>0</v>
      </c>
      <c r="P33" s="27">
        <f>(Table4[[#This Row],[پیچ بلند]]*$U$11+Table4[[#This Row],[پیچ کوتاه]]*$U$12+(Table4[[#This Row],[پیچ کوتاه]]+Table4[[#This Row],[پیچ بلند]])*$U$13)/1000</f>
        <v>0</v>
      </c>
      <c r="Q33" s="27">
        <v>0</v>
      </c>
      <c r="R33" s="27">
        <f>Table4[[#This Row],[قیمت قطعه]]+Table4[[#This Row],[قیمت نوار]]+Table4[[#This Row],[لوازم]]+Table4[[#This Row],[قیمت پیچ]]</f>
        <v>22</v>
      </c>
    </row>
    <row r="34" spans="1:18" ht="15.75" customHeight="1" x14ac:dyDescent="0.2">
      <c r="A34" s="15"/>
      <c r="C34" s="8" t="s">
        <v>60</v>
      </c>
      <c r="D34" s="17">
        <v>105.76</v>
      </c>
      <c r="E34" s="18" t="s">
        <v>24</v>
      </c>
      <c r="F34" s="9">
        <v>7.96</v>
      </c>
      <c r="G34" s="8">
        <f t="shared" si="17"/>
        <v>0.08</v>
      </c>
      <c r="H34" s="27">
        <f t="shared" si="0"/>
        <v>11</v>
      </c>
      <c r="I34" s="8">
        <f t="shared" si="18"/>
        <v>0.8</v>
      </c>
      <c r="J34" s="8">
        <v>0</v>
      </c>
      <c r="K34" s="8">
        <v>0</v>
      </c>
      <c r="L34" s="8">
        <f t="shared" si="19"/>
        <v>0</v>
      </c>
      <c r="M34" s="8">
        <f t="shared" si="20"/>
        <v>0</v>
      </c>
      <c r="N34" s="8">
        <v>0</v>
      </c>
      <c r="O34" s="8">
        <v>0</v>
      </c>
      <c r="P34" s="27">
        <f>(Table4[[#This Row],[پیچ بلند]]*$U$11+Table4[[#This Row],[پیچ کوتاه]]*$U$12+(Table4[[#This Row],[پیچ کوتاه]]+Table4[[#This Row],[پیچ بلند]])*$U$13)/1000</f>
        <v>0</v>
      </c>
      <c r="Q34" s="27">
        <v>0</v>
      </c>
      <c r="R34" s="27">
        <f>Table4[[#This Row],[قیمت قطعه]]+Table4[[#This Row],[قیمت نوار]]+Table4[[#This Row],[لوازم]]+Table4[[#This Row],[قیمت پیچ]]</f>
        <v>11</v>
      </c>
    </row>
    <row r="35" spans="1:18" ht="15.75" customHeight="1" x14ac:dyDescent="0.2">
      <c r="A35" s="15"/>
      <c r="C35" s="8" t="s">
        <v>60</v>
      </c>
      <c r="D35" s="17">
        <v>25.44</v>
      </c>
      <c r="E35" s="18" t="s">
        <v>24</v>
      </c>
      <c r="F35" s="9">
        <v>19.96</v>
      </c>
      <c r="G35" s="8">
        <f>ROUND(F35*D35/10000,2)</f>
        <v>0.05</v>
      </c>
      <c r="H35" s="27">
        <f t="shared" si="0"/>
        <v>7</v>
      </c>
      <c r="I35" s="8">
        <f>ROUND(G35*$U$1,1)</f>
        <v>0.5</v>
      </c>
      <c r="J35" s="8">
        <v>0</v>
      </c>
      <c r="K35" s="8">
        <v>0</v>
      </c>
      <c r="L35" s="8">
        <f>ROUND((F35*K35+D35*J35)/100,1)</f>
        <v>0</v>
      </c>
      <c r="M35" s="8">
        <f>L35*$U$10</f>
        <v>0</v>
      </c>
      <c r="N35" s="8">
        <v>0</v>
      </c>
      <c r="O35" s="8">
        <v>0</v>
      </c>
      <c r="P35" s="27">
        <f>(Table4[[#This Row],[پیچ بلند]]*$U$11+Table4[[#This Row],[پیچ کوتاه]]*$U$12+(Table4[[#This Row],[پیچ کوتاه]]+Table4[[#This Row],[پیچ بلند]])*$U$13)/1000</f>
        <v>0</v>
      </c>
      <c r="Q35" s="27">
        <v>0</v>
      </c>
      <c r="R35" s="27">
        <f>Table4[[#This Row],[قیمت قطعه]]+Table4[[#This Row],[قیمت نوار]]+Table4[[#This Row],[لوازم]]+Table4[[#This Row],[قیمت پیچ]]</f>
        <v>7</v>
      </c>
    </row>
    <row r="36" spans="1:18" ht="15.75" customHeight="1" x14ac:dyDescent="0.2">
      <c r="A36" s="15"/>
      <c r="C36" s="8" t="s">
        <v>60</v>
      </c>
      <c r="D36" s="17">
        <v>67</v>
      </c>
      <c r="E36" s="18" t="s">
        <v>24</v>
      </c>
      <c r="F36" s="9">
        <v>5.36</v>
      </c>
      <c r="G36" s="8">
        <f>ROUND(F36*D36/10000,2)</f>
        <v>0.04</v>
      </c>
      <c r="H36" s="27">
        <f t="shared" si="0"/>
        <v>5</v>
      </c>
      <c r="I36" s="8">
        <f>ROUND(G36*$U$1,1)</f>
        <v>0.4</v>
      </c>
      <c r="J36" s="8">
        <v>0</v>
      </c>
      <c r="K36" s="8">
        <v>0</v>
      </c>
      <c r="L36" s="8">
        <f>ROUND((F36*K36+D36*J36)/100,1)</f>
        <v>0</v>
      </c>
      <c r="M36" s="8">
        <f>L36*$U$10</f>
        <v>0</v>
      </c>
      <c r="N36" s="8">
        <v>0</v>
      </c>
      <c r="O36" s="8">
        <v>0</v>
      </c>
      <c r="P36" s="27">
        <f>(Table4[[#This Row],[پیچ بلند]]*$U$11+Table4[[#This Row],[پیچ کوتاه]]*$U$12+(Table4[[#This Row],[پیچ کوتاه]]+Table4[[#This Row],[پیچ بلند]])*$U$13)/1000</f>
        <v>0</v>
      </c>
      <c r="Q36" s="27">
        <v>0</v>
      </c>
      <c r="R36" s="27">
        <f>Table4[[#This Row],[قیمت قطعه]]+Table4[[#This Row],[قیمت نوار]]+Table4[[#This Row],[لوازم]]+Table4[[#This Row],[قیمت پیچ]]</f>
        <v>5</v>
      </c>
    </row>
    <row r="37" spans="1:18" x14ac:dyDescent="0.2">
      <c r="G37" s="10">
        <f>SUBTOTAL(109,G2:G36)</f>
        <v>6.669999999999999</v>
      </c>
      <c r="H37" s="11">
        <f>SUBTOTAL(109,H2:H36)</f>
        <v>876</v>
      </c>
      <c r="I37" s="12">
        <f>SUBTOTAL(109,I2:I36)</f>
        <v>69.5</v>
      </c>
      <c r="J37" s="13"/>
      <c r="K37" s="13"/>
      <c r="L37" s="14">
        <f>SUBTOTAL(109,L2:L36)</f>
        <v>41.4</v>
      </c>
      <c r="M37" s="11">
        <f>SUBTOTAL(109,M2:M36)</f>
        <v>227.69999999999993</v>
      </c>
      <c r="N37" s="16">
        <f>SUBTOTAL(109,Table4[پیچ بلند])</f>
        <v>81</v>
      </c>
      <c r="O37" s="16">
        <f>SUBTOTAL(109,Table4[پیچ کوتاه])</f>
        <v>24</v>
      </c>
      <c r="P37" s="11">
        <f>SUBTOTAL(109,Table4[قیمت پیچ])</f>
        <v>26.25</v>
      </c>
      <c r="Q37" s="11">
        <f>SUBTOTAL(109,Table4[لوازم])</f>
        <v>30</v>
      </c>
      <c r="R37" s="28">
        <f>SUBTOTAL(109,R2:R36)</f>
        <v>1159.95</v>
      </c>
    </row>
  </sheetData>
  <mergeCells count="5">
    <mergeCell ref="A2:A10"/>
    <mergeCell ref="A11:A19"/>
    <mergeCell ref="A20:A28"/>
    <mergeCell ref="T21:T22"/>
    <mergeCell ref="U21:U22"/>
  </mergeCells>
  <pageMargins left="0.7" right="0.7" top="0.75" bottom="0.75" header="0.3" footer="0.3"/>
  <pageSetup paperSize="9" orientation="portrait" horizontalDpi="0" verticalDpi="0" r:id="rId1"/>
  <ignoredErrors>
    <ignoredError sqref="U15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مادري دو</vt:lpstr>
      <vt:lpstr>مادري يك</vt:lpstr>
      <vt:lpstr>عمه</vt:lpstr>
      <vt:lpstr>محاسبه قطعات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2018-05-15T12:03:33Z</dcterms:created>
  <dcterms:modified xsi:type="dcterms:W3CDTF">2021-10-13T13:52:27Z</dcterms:modified>
</cp:coreProperties>
</file>